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80" yWindow="4880" windowWidth="0" windowHeight="9520" activeTab="0"/>
  </bookViews>
  <sheets>
    <sheet name="Englsh" sheetId="1" r:id="rId1"/>
    <sheet name="Francais" sheetId="2" r:id="rId2"/>
  </sheets>
  <definedNames/>
  <calcPr fullCalcOnLoad="1"/>
</workbook>
</file>

<file path=xl/sharedStrings.xml><?xml version="1.0" encoding="utf-8"?>
<sst xmlns="http://schemas.openxmlformats.org/spreadsheetml/2006/main" count="74" uniqueCount="71">
  <si>
    <t>Taux d'inflation annuel (%)</t>
  </si>
  <si>
    <t>Taux d'intérêt nominal (%)</t>
  </si>
  <si>
    <t>Apport initial</t>
  </si>
  <si>
    <t>Nombre de remboursement par an</t>
  </si>
  <si>
    <t>Durée de l'emprunt (années)</t>
  </si>
  <si>
    <t>Prix d'acquisition</t>
  </si>
  <si>
    <t>Taux de rendement locatif (%)</t>
  </si>
  <si>
    <t>Augmentation de l'immobilier par an (%)</t>
  </si>
  <si>
    <t>Coût d'acquisition</t>
  </si>
  <si>
    <t xml:space="preserve"> en $ courant</t>
  </si>
  <si>
    <t xml:space="preserve"> en $ constant</t>
  </si>
  <si>
    <t>Valeur finale</t>
  </si>
  <si>
    <t>Loyer périodique</t>
  </si>
  <si>
    <t>Plus value immobilière nette</t>
  </si>
  <si>
    <t>Taux de rendement moyen (%)</t>
  </si>
  <si>
    <t>Taux d'inflation périodique</t>
  </si>
  <si>
    <t>Taux de rendement spéculatif (%)</t>
  </si>
  <si>
    <t>Montant des remboursements périodiques</t>
  </si>
  <si>
    <t>initial</t>
  </si>
  <si>
    <t>final</t>
  </si>
  <si>
    <t>Tableau d'ammortissement de l'emprunt immobilier</t>
  </si>
  <si>
    <t>Année</t>
  </si>
  <si>
    <t>Capital remboursé</t>
  </si>
  <si>
    <t>Intérêts payés</t>
  </si>
  <si>
    <t>Capital restant dû</t>
  </si>
  <si>
    <t>Remboursements</t>
  </si>
  <si>
    <t>Coût de l'emprunt</t>
  </si>
  <si>
    <t>Par période</t>
  </si>
  <si>
    <t>Loyers</t>
  </si>
  <si>
    <t>Placement bancaire</t>
  </si>
  <si>
    <t>Montant placé</t>
  </si>
  <si>
    <t>Capital final</t>
  </si>
  <si>
    <t>Intérêts générés</t>
  </si>
  <si>
    <t>Solde final (Immobilier - financier)</t>
  </si>
  <si>
    <t>Loyers payés</t>
  </si>
  <si>
    <t>Remboursement Supplementaire par traite</t>
  </si>
  <si>
    <t>Purchase price</t>
  </si>
  <si>
    <t>Initial deposit</t>
  </si>
  <si>
    <t>Length of loan (in years)</t>
  </si>
  <si>
    <t>How many repayments per year</t>
  </si>
  <si>
    <t>Yearly inflation rate (%)</t>
  </si>
  <si>
    <t>Inflation rate per period</t>
  </si>
  <si>
    <t>Repayment amount per period</t>
  </si>
  <si>
    <t>In today's $</t>
  </si>
  <si>
    <t>in $</t>
  </si>
  <si>
    <t>Loan cost</t>
  </si>
  <si>
    <t>Purchase cost</t>
  </si>
  <si>
    <t>Final value</t>
  </si>
  <si>
    <t>Net Profit</t>
  </si>
  <si>
    <t>Average return rate (%)</t>
  </si>
  <si>
    <t>Year</t>
  </si>
  <si>
    <t>Total Repayment</t>
  </si>
  <si>
    <t>Interest Paid</t>
  </si>
  <si>
    <t>Repaid principal</t>
  </si>
  <si>
    <t>Principal Left to be paid</t>
  </si>
  <si>
    <t>Extra repayment per period</t>
  </si>
  <si>
    <t>Rent Paid</t>
  </si>
  <si>
    <t>Rent paid per period</t>
  </si>
  <si>
    <t>Invested amount</t>
  </si>
  <si>
    <t>Return on Investment</t>
  </si>
  <si>
    <t>Value of Portfolio</t>
  </si>
  <si>
    <t>Rent</t>
  </si>
  <si>
    <t>Investment</t>
  </si>
  <si>
    <t>Mortage Repayment calendar</t>
  </si>
  <si>
    <t>Return on investment rate (average)</t>
  </si>
  <si>
    <t>Final Value</t>
  </si>
  <si>
    <t>Difference between home purchase and investment</t>
  </si>
  <si>
    <t>Rent per period</t>
  </si>
  <si>
    <t>Interest rate for mortgage</t>
  </si>
  <si>
    <t xml:space="preserve">Average Property Growth per annum </t>
  </si>
  <si>
    <t>Rental rate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</si>
</sst>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$&quot;#,##0.00"/>
    <numFmt numFmtId="173" formatCode="#,##0.00&quot; €&quot;;[Red]#,##0.00&quot; €&quot;"/>
    <numFmt numFmtId="174" formatCode="[$$-409]#,##0.00_ ;[Red]\-[$$-409]#,##0.00\ "/>
    <numFmt numFmtId="175" formatCode="[$$-409]#,##0_ ;[Red]\-[$$-409]#,##0\ "/>
    <numFmt numFmtId="176" formatCode="[$$-409]#,##0.00"/>
    <numFmt numFmtId="177" formatCode="[$$-409]#,##0.0_ ;[Red]\-[$$-409]#,##0.0\ "/>
    <numFmt numFmtId="178" formatCode="[$$-409]#,##0.00;[Red][$$-409]#,##0.00"/>
    <numFmt numFmtId="179" formatCode="&quot;$&quot;#,##0.00;[Red]&quot;$&quot;#,##0.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4" fontId="0" fillId="0" borderId="0" xfId="0" applyNumberFormat="1" applyBorder="1" applyAlignment="1">
      <alignment vertical="center"/>
    </xf>
    <xf numFmtId="10" fontId="0" fillId="2" borderId="0" xfId="0" applyNumberFormat="1" applyFill="1" applyBorder="1" applyAlignment="1">
      <alignment vertical="center"/>
    </xf>
    <xf numFmtId="8" fontId="0" fillId="0" borderId="0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5" fontId="0" fillId="2" borderId="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0" fontId="0" fillId="2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0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175" fontId="0" fillId="0" borderId="0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vertical="center"/>
    </xf>
    <xf numFmtId="8" fontId="0" fillId="0" borderId="0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7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74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74" fontId="4" fillId="0" borderId="3" xfId="0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71"/>
  <sheetViews>
    <sheetView tabSelected="1" zoomScale="125" zoomScaleNormal="125" workbookViewId="0" topLeftCell="A1">
      <selection activeCell="B14" sqref="B14"/>
    </sheetView>
  </sheetViews>
  <sheetFormatPr defaultColWidth="11.421875" defaultRowHeight="24.75" customHeight="1"/>
  <cols>
    <col min="1" max="1" width="4.8515625" style="1" customWidth="1"/>
    <col min="2" max="3" width="16.8515625" style="1" customWidth="1"/>
    <col min="4" max="4" width="11.28125" style="1" customWidth="1"/>
    <col min="5" max="5" width="4.8515625" style="19" customWidth="1"/>
    <col min="6" max="6" width="14.8515625" style="1" customWidth="1"/>
    <col min="7" max="7" width="13.8515625" style="1" customWidth="1"/>
    <col min="8" max="8" width="17.00390625" style="1" customWidth="1"/>
    <col min="9" max="9" width="13.421875" style="1" customWidth="1"/>
    <col min="10" max="10" width="12.8515625" style="1" customWidth="1"/>
    <col min="11" max="11" width="4.8515625" style="1" customWidth="1"/>
    <col min="12" max="13" width="12.8515625" style="1" customWidth="1"/>
    <col min="14" max="14" width="14.421875" style="1" customWidth="1"/>
    <col min="15" max="15" width="17.140625" style="1" customWidth="1"/>
    <col min="16" max="16384" width="8.8515625" style="1" customWidth="1"/>
  </cols>
  <sheetData>
    <row r="1" spans="2:9" ht="24.75" customHeight="1">
      <c r="B1" s="2"/>
      <c r="C1" s="2"/>
      <c r="D1" s="2"/>
      <c r="F1" s="2"/>
      <c r="G1" s="2"/>
      <c r="H1" s="2"/>
      <c r="I1" s="2"/>
    </row>
    <row r="2" spans="2:9" ht="24.75" customHeight="1">
      <c r="B2" s="42" t="s">
        <v>36</v>
      </c>
      <c r="C2" s="12"/>
      <c r="D2" s="8">
        <v>500000</v>
      </c>
      <c r="E2" s="20"/>
      <c r="F2" s="42" t="s">
        <v>40</v>
      </c>
      <c r="G2" s="13"/>
      <c r="I2" s="11">
        <v>0.023</v>
      </c>
    </row>
    <row r="3" spans="2:9" ht="24.75" customHeight="1">
      <c r="B3" s="42" t="s">
        <v>37</v>
      </c>
      <c r="C3" s="12"/>
      <c r="D3" s="8">
        <v>100000</v>
      </c>
      <c r="E3" s="20"/>
      <c r="F3" s="2" t="s">
        <v>41</v>
      </c>
      <c r="G3" s="2"/>
      <c r="H3" s="2"/>
      <c r="I3" s="14">
        <f>POWER(1+I2,1/I5)-1</f>
        <v>0.0018967538135683526</v>
      </c>
    </row>
    <row r="4" spans="2:5" ht="24.75" customHeight="1">
      <c r="B4" s="42" t="s">
        <v>68</v>
      </c>
      <c r="C4" s="12"/>
      <c r="D4" s="11">
        <v>0.075</v>
      </c>
      <c r="E4" s="21"/>
    </row>
    <row r="5" spans="2:9" ht="24.75" customHeight="1">
      <c r="B5" s="42" t="s">
        <v>38</v>
      </c>
      <c r="C5" s="12"/>
      <c r="D5" s="10">
        <v>25</v>
      </c>
      <c r="E5" s="22"/>
      <c r="F5" s="42" t="s">
        <v>39</v>
      </c>
      <c r="G5" s="13"/>
      <c r="H5" s="12"/>
      <c r="I5" s="9">
        <v>12</v>
      </c>
    </row>
    <row r="6" spans="2:4" ht="24.75" customHeight="1">
      <c r="B6" s="2"/>
      <c r="C6" s="2"/>
      <c r="D6" s="2"/>
    </row>
    <row r="7" spans="8:9" ht="39.75" customHeight="1">
      <c r="H7" s="7" t="s">
        <v>44</v>
      </c>
      <c r="I7" s="7" t="s">
        <v>43</v>
      </c>
    </row>
    <row r="8" spans="2:9" ht="24.75" customHeight="1">
      <c r="B8" s="2" t="s">
        <v>42</v>
      </c>
      <c r="C8" s="2"/>
      <c r="D8" s="3">
        <f>PMT(D4/I5,D5*I5,D2-D3)</f>
        <v>-2955.964711189829</v>
      </c>
      <c r="E8" s="24"/>
      <c r="F8" s="2" t="s">
        <v>45</v>
      </c>
      <c r="H8" s="28">
        <f>-D8*I5*D5</f>
        <v>886789.4133569488</v>
      </c>
      <c r="I8" s="6">
        <f>H8/(1+$I$2)^$D$5</f>
        <v>502261.2312948356</v>
      </c>
    </row>
    <row r="9" spans="6:9" ht="24.75" customHeight="1">
      <c r="F9" s="2" t="s">
        <v>46</v>
      </c>
      <c r="G9" s="2"/>
      <c r="H9" s="5">
        <f>D3+D5*I5*(-D8)</f>
        <v>986789.4133569486</v>
      </c>
      <c r="I9" s="5">
        <f>D3+FV(-I3,D5*I5,D8)</f>
        <v>776717.5575682769</v>
      </c>
    </row>
    <row r="10" ht="24.75" customHeight="1">
      <c r="E10" s="1"/>
    </row>
    <row r="11" spans="2:9" ht="24.75" customHeight="1">
      <c r="B11" s="43" t="s">
        <v>69</v>
      </c>
      <c r="C11" s="17"/>
      <c r="D11" s="4">
        <v>0.12</v>
      </c>
      <c r="E11" s="25"/>
      <c r="F11" s="1" t="s">
        <v>47</v>
      </c>
      <c r="H11" s="3">
        <f>D2*(1+D11)^D5</f>
        <v>8500032.203321354</v>
      </c>
      <c r="I11" s="6">
        <f>H11/(1+$I$2)^$D$5</f>
        <v>4814262.074154344</v>
      </c>
    </row>
    <row r="12" ht="24.75" customHeight="1">
      <c r="E12" s="1"/>
    </row>
    <row r="13" spans="2:9" ht="24.75" customHeight="1">
      <c r="B13" s="42" t="s">
        <v>70</v>
      </c>
      <c r="C13" s="13"/>
      <c r="D13" s="4">
        <v>0.035</v>
      </c>
      <c r="E13" s="23"/>
      <c r="F13" s="2" t="s">
        <v>67</v>
      </c>
      <c r="G13" s="2" t="s">
        <v>18</v>
      </c>
      <c r="H13" s="3">
        <f>MIN(J25:J61)</f>
        <v>1458.3333333333333</v>
      </c>
      <c r="I13" s="6"/>
    </row>
    <row r="14" spans="7:9" ht="24.75" customHeight="1">
      <c r="G14" s="1" t="s">
        <v>19</v>
      </c>
      <c r="H14" s="3"/>
      <c r="I14" s="6">
        <f>MAX(J25:J61)</f>
        <v>22135.500529482713</v>
      </c>
    </row>
    <row r="15" spans="5:8" ht="24.75" customHeight="1">
      <c r="E15" s="1"/>
      <c r="H15" s="26"/>
    </row>
    <row r="16" spans="6:9" ht="24.75" customHeight="1">
      <c r="F16" s="13" t="s">
        <v>48</v>
      </c>
      <c r="I16" s="6">
        <f>I11-I9</f>
        <v>4037544.5165860676</v>
      </c>
    </row>
    <row r="17" spans="5:9" ht="24.75" customHeight="1">
      <c r="E17" s="1"/>
      <c r="F17" s="13" t="s">
        <v>49</v>
      </c>
      <c r="I17" s="14">
        <f>(I16/I9)/D5</f>
        <v>0.20792858239109135</v>
      </c>
    </row>
    <row r="18" ht="24.75" customHeight="1">
      <c r="E18" s="1"/>
    </row>
    <row r="19" spans="2:9" ht="24.75" customHeight="1">
      <c r="B19" s="35" t="s">
        <v>64</v>
      </c>
      <c r="D19" s="4">
        <v>0.065</v>
      </c>
      <c r="E19" s="1"/>
      <c r="F19" s="1" t="s">
        <v>65</v>
      </c>
      <c r="H19" s="28">
        <f ca="1">OFFSET(N25,$D$5,0,1,1)</f>
        <v>-1071262.1837045122</v>
      </c>
      <c r="I19" s="3">
        <f>H19/(1+$I$2)^$D$5</f>
        <v>-606743.2192161799</v>
      </c>
    </row>
    <row r="20" spans="5:9" s="15" customFormat="1" ht="24.75" customHeight="1">
      <c r="E20" s="19"/>
      <c r="F20" s="1"/>
      <c r="G20" s="1"/>
      <c r="H20" s="18"/>
      <c r="I20" s="1"/>
    </row>
    <row r="21" spans="2:14" s="16" customFormat="1" ht="24.75" customHeight="1">
      <c r="B21" s="15"/>
      <c r="C21" s="15"/>
      <c r="D21" s="15"/>
      <c r="E21" s="19"/>
      <c r="F21" s="37" t="s">
        <v>66</v>
      </c>
      <c r="G21" s="38"/>
      <c r="H21" s="39"/>
      <c r="I21" s="40">
        <f>I16-I19</f>
        <v>4644287.735802247</v>
      </c>
      <c r="J21" s="15"/>
      <c r="K21" s="15"/>
      <c r="L21" s="15"/>
      <c r="M21" s="15"/>
      <c r="N21" s="15"/>
    </row>
    <row r="22" spans="2:14" ht="24.75" customHeight="1">
      <c r="B22" s="16"/>
      <c r="C22" s="16"/>
      <c r="D22" s="16"/>
      <c r="E22" s="25"/>
      <c r="J22" s="16"/>
      <c r="K22" s="16"/>
      <c r="L22" s="16"/>
      <c r="M22" s="16"/>
      <c r="N22" s="16"/>
    </row>
    <row r="23" spans="2:13" ht="39.75" customHeight="1">
      <c r="B23" s="35" t="s">
        <v>63</v>
      </c>
      <c r="C23" s="35"/>
      <c r="D23" s="35"/>
      <c r="E23" s="36"/>
      <c r="F23" s="35"/>
      <c r="G23" s="35"/>
      <c r="H23" s="35"/>
      <c r="I23" s="35" t="s">
        <v>61</v>
      </c>
      <c r="J23" s="35"/>
      <c r="K23" s="35"/>
      <c r="L23" s="35" t="s">
        <v>62</v>
      </c>
      <c r="M23" s="35"/>
    </row>
    <row r="24" spans="2:14" ht="40.5" customHeight="1">
      <c r="B24" s="7" t="s">
        <v>50</v>
      </c>
      <c r="C24" s="29" t="s">
        <v>51</v>
      </c>
      <c r="D24" s="30" t="s">
        <v>52</v>
      </c>
      <c r="E24" s="31"/>
      <c r="F24" s="29" t="s">
        <v>53</v>
      </c>
      <c r="G24" s="30" t="s">
        <v>54</v>
      </c>
      <c r="H24" s="32" t="s">
        <v>55</v>
      </c>
      <c r="I24" s="33" t="s">
        <v>56</v>
      </c>
      <c r="J24" s="29" t="s">
        <v>57</v>
      </c>
      <c r="K24" s="29"/>
      <c r="L24" s="29" t="s">
        <v>58</v>
      </c>
      <c r="M24" s="30" t="s">
        <v>59</v>
      </c>
      <c r="N24" s="29" t="s">
        <v>60</v>
      </c>
    </row>
    <row r="25" spans="2:14" ht="18.75" customHeight="1">
      <c r="B25" s="7">
        <v>1</v>
      </c>
      <c r="C25" s="28">
        <f>-$D$8*$I$5</f>
        <v>35471.57653427795</v>
      </c>
      <c r="D25" s="27">
        <f>C25-F25</f>
        <v>29587.307874500344</v>
      </c>
      <c r="F25" s="28">
        <f>-PPMT($D$4,B25,$D$5,$D$2-$D$3)</f>
        <v>5884.268659777605</v>
      </c>
      <c r="G25" s="41">
        <f>($D$2-$D$3)-F25</f>
        <v>394115.7313402224</v>
      </c>
      <c r="H25" s="27"/>
      <c r="I25" s="28">
        <f>D2*D13</f>
        <v>17500</v>
      </c>
      <c r="J25" s="28">
        <f>I25/$I$5</f>
        <v>1458.3333333333333</v>
      </c>
      <c r="K25" s="28"/>
      <c r="L25" s="28">
        <f>D3</f>
        <v>100000</v>
      </c>
      <c r="M25" s="28">
        <f>L25*D19</f>
        <v>6500</v>
      </c>
      <c r="N25" s="28">
        <f>L25+M25</f>
        <v>106500</v>
      </c>
    </row>
    <row r="26" spans="2:14" ht="18.75" customHeight="1">
      <c r="B26" s="7">
        <f>IF(B25&lt;$D$5,B25+1,IF(B25&gt;$D$5,"","TOTAL"))</f>
        <v>2</v>
      </c>
      <c r="C26" s="28">
        <f>IF(B26&lt;&gt;"TOTAL",IF(B26="","",-$D$8*$I$5),SUM(C$25:C25))</f>
        <v>35471.57653427795</v>
      </c>
      <c r="D26" s="27">
        <f>IF(B26&lt;&gt;"TOTAL",IF(B26="","",C26-F26),SUM(D$25:D25))</f>
        <v>29145.987725017025</v>
      </c>
      <c r="E26" s="23"/>
      <c r="F26" s="28">
        <f>IF(B26&lt;&gt;"TOTAL",IF(B26="","",-PPMT($D$4,B26,$D$5,$D$2-$D$3)),SUM(F$25:F25))</f>
        <v>6325.588809260924</v>
      </c>
      <c r="G26" s="41">
        <f>IF(B26&lt;&gt;"TOTAL",IF(B26="","",G25-F26),"")</f>
        <v>387790.1425309615</v>
      </c>
      <c r="H26" s="27"/>
      <c r="I26" s="28">
        <f>IF(B26&lt;&gt;"TOTAL",IF(B26="","",I25*(1+$D$11)),SUM($I$25:I25))</f>
        <v>19600.000000000004</v>
      </c>
      <c r="J26" s="28">
        <f>IF(B26&lt;&gt;"TOTAL",IF(B26="","",I26/$I$5),"")</f>
        <v>1633.3333333333337</v>
      </c>
      <c r="K26" s="28"/>
      <c r="L26" s="28">
        <f>IF(B26&lt;&gt;"TOTAL",IF(B26="","",C25-I25),SUM($L$25:L25))</f>
        <v>17971.57653427795</v>
      </c>
      <c r="M26" s="28">
        <f>IF(B26&lt;&gt;"TOTAL",IF(B26="","",(N25+L26)*$D$19),SUM($M$25:M25))</f>
        <v>8090.652474728067</v>
      </c>
      <c r="N26" s="28">
        <f>IF(B26&lt;&gt;"TOTAL",IF(B26="","",N25+L26+M26),N25)</f>
        <v>132562.22900900603</v>
      </c>
    </row>
    <row r="27" spans="2:14" ht="18.75" customHeight="1">
      <c r="B27" s="7">
        <f aca="true" t="shared" si="0" ref="B27:B70">IF(B26&lt;$D$5,B26+1,IF(B26&gt;$D$5,"","TOTAL"))</f>
        <v>3</v>
      </c>
      <c r="C27" s="28">
        <f>IF(B27&lt;&gt;"TOTAL",IF(B27="","",-$D$8*$I$5),SUM(C$25:C26))</f>
        <v>35471.57653427795</v>
      </c>
      <c r="D27" s="27">
        <f>IF(B27&lt;&gt;"TOTAL",IF(B27="","",C27-F27),SUM(D$25:D26))</f>
        <v>28671.56856432245</v>
      </c>
      <c r="F27" s="28">
        <f>IF(B27&lt;&gt;"TOTAL",IF(B27="","",-PPMT($D$4,B27,$D$5,$D$2-$D$3)),SUM(F$25:F26))</f>
        <v>6800.007969955499</v>
      </c>
      <c r="G27" s="41">
        <f aca="true" t="shared" si="1" ref="G27:G70">IF(B27&lt;&gt;"TOTAL",IF(B27="","",G26-F27),"")</f>
        <v>380990.134561006</v>
      </c>
      <c r="H27" s="27"/>
      <c r="I27" s="28">
        <f>IF(B27&lt;&gt;"TOTAL",IF(B27="","",I26*(1+$D$11)),SUM($I$25:I26))</f>
        <v>21952.000000000007</v>
      </c>
      <c r="J27" s="28">
        <f aca="true" t="shared" si="2" ref="J27:J70">IF(B27&lt;&gt;"TOTAL",IF(B27="","",I27/$I$5),"")</f>
        <v>1829.333333333334</v>
      </c>
      <c r="K27" s="28"/>
      <c r="L27" s="28">
        <f>IF(B27&lt;&gt;"TOTAL",IF(B27="","",C26-I26),SUM($L$25:L26))</f>
        <v>15871.576534277945</v>
      </c>
      <c r="M27" s="28">
        <f>IF(B27&lt;&gt;"TOTAL",IF(B27="","",(N26+L27)*$D$19),SUM($M$25:M26))</f>
        <v>9648.197360313457</v>
      </c>
      <c r="N27" s="28">
        <f aca="true" t="shared" si="3" ref="N27:N70">IF(B27&lt;&gt;"TOTAL",IF(B27="","",N26+L27+M27),N26)</f>
        <v>158082.00290359743</v>
      </c>
    </row>
    <row r="28" spans="2:14" ht="18.75" customHeight="1">
      <c r="B28" s="7">
        <f t="shared" si="0"/>
        <v>4</v>
      </c>
      <c r="C28" s="28">
        <f>IF(B28&lt;&gt;"TOTAL",IF(B28="","",-$D$8*$I$5),SUM(C$25:C27))</f>
        <v>35471.57653427795</v>
      </c>
      <c r="D28" s="27">
        <f>IF(B28&lt;&gt;"TOTAL",IF(B28="","",C28-F28),SUM(D$25:D27))</f>
        <v>28161.567966575793</v>
      </c>
      <c r="F28" s="28">
        <f>IF(B28&lt;&gt;"TOTAL",IF(B28="","",-PPMT($D$4,B28,$D$5,$D$2-$D$3)),SUM(F$25:F27))</f>
        <v>7310.008567702156</v>
      </c>
      <c r="G28" s="41">
        <f t="shared" si="1"/>
        <v>373680.12599330384</v>
      </c>
      <c r="H28" s="27"/>
      <c r="I28" s="28">
        <f>IF(B28&lt;&gt;"TOTAL",IF(B28="","",I27*(1+$D$11)),SUM($I$25:I27))</f>
        <v>24586.24000000001</v>
      </c>
      <c r="J28" s="28">
        <f t="shared" si="2"/>
        <v>2048.853333333334</v>
      </c>
      <c r="K28" s="28"/>
      <c r="L28" s="28">
        <f>IF(B28&lt;&gt;"TOTAL",IF(B28="","",C27-I27),SUM($L$25:L27))</f>
        <v>13519.576534277941</v>
      </c>
      <c r="M28" s="28">
        <f>IF(B28&lt;&gt;"TOTAL",IF(B28="","",(N27+L28)*$D$19),SUM($M$25:M27))</f>
        <v>11154.1026634619</v>
      </c>
      <c r="N28" s="28">
        <f t="shared" si="3"/>
        <v>182755.68210133727</v>
      </c>
    </row>
    <row r="29" spans="2:14" ht="18.75" customHeight="1">
      <c r="B29" s="7">
        <f t="shared" si="0"/>
        <v>5</v>
      </c>
      <c r="C29" s="28">
        <f>IF(B29&lt;&gt;"TOTAL",IF(B29="","",-$D$8*$I$5),SUM(C$25:C28))</f>
        <v>35471.57653427795</v>
      </c>
      <c r="D29" s="27">
        <f>IF(B29&lt;&gt;"TOTAL",IF(B29="","",C29-F29),SUM(D$25:D28))</f>
        <v>27613.31732399813</v>
      </c>
      <c r="F29" s="28">
        <f>IF(B29&lt;&gt;"TOTAL",IF(B29="","",-PPMT($D$4,B29,$D$5,$D$2-$D$3)),SUM(F$25:F28))</f>
        <v>7858.259210279819</v>
      </c>
      <c r="G29" s="41">
        <f t="shared" si="1"/>
        <v>365821.86678302404</v>
      </c>
      <c r="H29" s="27"/>
      <c r="I29" s="28">
        <f>IF(B29&lt;&gt;"TOTAL",IF(B29="","",I28*(1+$D$11)),SUM($I$25:I28))</f>
        <v>27536.588800000012</v>
      </c>
      <c r="J29" s="28">
        <f t="shared" si="2"/>
        <v>2294.7157333333344</v>
      </c>
      <c r="K29" s="28"/>
      <c r="L29" s="28">
        <f>IF(B29&lt;&gt;"TOTAL",IF(B29="","",C28-I28),SUM($L$25:L28))</f>
        <v>10885.33653427794</v>
      </c>
      <c r="M29" s="28">
        <f>IF(B29&lt;&gt;"TOTAL",IF(B29="","",(N28+L29)*$D$19),SUM($M$25:M28))</f>
        <v>12586.666211314989</v>
      </c>
      <c r="N29" s="28">
        <f t="shared" si="3"/>
        <v>206227.6848469302</v>
      </c>
    </row>
    <row r="30" spans="2:14" ht="18.75" customHeight="1">
      <c r="B30" s="7">
        <f t="shared" si="0"/>
        <v>6</v>
      </c>
      <c r="C30" s="28">
        <f>IF(B30&lt;&gt;"TOTAL",IF(B30="","",-$D$8*$I$5),SUM(C$25:C29))</f>
        <v>35471.57653427795</v>
      </c>
      <c r="D30" s="27">
        <f>IF(B30&lt;&gt;"TOTAL",IF(B30="","",C30-F30),SUM(D$25:D29))</f>
        <v>27023.947883227145</v>
      </c>
      <c r="F30" s="28">
        <f>IF(B30&lt;&gt;"TOTAL",IF(B30="","",-PPMT($D$4,B30,$D$5,$D$2-$D$3)),SUM(F$25:F29))</f>
        <v>8447.628651050803</v>
      </c>
      <c r="G30" s="41">
        <f t="shared" si="1"/>
        <v>357374.23813197325</v>
      </c>
      <c r="H30" s="27"/>
      <c r="I30" s="28">
        <f>IF(B30&lt;&gt;"TOTAL",IF(B30="","",I29*(1+$D$11)),SUM($I$25:I29))</f>
        <v>30840.979456000015</v>
      </c>
      <c r="J30" s="28">
        <f t="shared" si="2"/>
        <v>2570.0816213333346</v>
      </c>
      <c r="K30" s="28"/>
      <c r="L30" s="28">
        <f>IF(B30&lt;&gt;"TOTAL",IF(B30="","",C29-I29),SUM($L$25:L29))</f>
        <v>7934.987734277936</v>
      </c>
      <c r="M30" s="28">
        <f>IF(B30&lt;&gt;"TOTAL",IF(B30="","",(N29+L30)*$D$19),SUM($M$25:M29))</f>
        <v>13920.57371777853</v>
      </c>
      <c r="N30" s="28">
        <f t="shared" si="3"/>
        <v>228083.24629898666</v>
      </c>
    </row>
    <row r="31" spans="2:14" ht="18.75" customHeight="1">
      <c r="B31" s="7">
        <f t="shared" si="0"/>
        <v>7</v>
      </c>
      <c r="C31" s="28">
        <f>IF(B31&lt;&gt;"TOTAL",IF(B31="","",-$D$8*$I$5),SUM(C$25:C30))</f>
        <v>35471.57653427795</v>
      </c>
      <c r="D31" s="27">
        <f>IF(B31&lt;&gt;"TOTAL",IF(B31="","",C31-F31),SUM(D$25:D30))</f>
        <v>26390.375734398334</v>
      </c>
      <c r="F31" s="28">
        <f>IF(B31&lt;&gt;"TOTAL",IF(B31="","",-PPMT($D$4,B31,$D$5,$D$2-$D$3)),SUM(F$25:F30))</f>
        <v>9081.200799879614</v>
      </c>
      <c r="G31" s="41">
        <f t="shared" si="1"/>
        <v>348293.03733209363</v>
      </c>
      <c r="H31" s="27"/>
      <c r="I31" s="28">
        <f>IF(B31&lt;&gt;"TOTAL",IF(B31="","",I30*(1+$D$11)),SUM($I$25:I30))</f>
        <v>34541.89699072002</v>
      </c>
      <c r="J31" s="28">
        <f t="shared" si="2"/>
        <v>2878.491415893335</v>
      </c>
      <c r="K31" s="28"/>
      <c r="L31" s="28">
        <f>IF(B31&lt;&gt;"TOTAL",IF(B31="","",C30-I30),SUM($L$25:L30))</f>
        <v>4630.597078277933</v>
      </c>
      <c r="M31" s="28">
        <f>IF(B31&lt;&gt;"TOTAL",IF(B31="","",(N30+L31)*$D$19),SUM($M$25:M30))</f>
        <v>15126.3998195222</v>
      </c>
      <c r="N31" s="28">
        <f t="shared" si="3"/>
        <v>247840.2431967868</v>
      </c>
    </row>
    <row r="32" spans="2:14" ht="18.75" customHeight="1">
      <c r="B32" s="7">
        <f t="shared" si="0"/>
        <v>8</v>
      </c>
      <c r="C32" s="28">
        <f>IF(B32&lt;&gt;"TOTAL",IF(B32="","",-$D$8*$I$5),SUM(C$25:C31))</f>
        <v>35471.57653427795</v>
      </c>
      <c r="D32" s="27">
        <f>IF(B32&lt;&gt;"TOTAL",IF(B32="","",C32-F32),SUM(D$25:D31))</f>
        <v>25709.28567440736</v>
      </c>
      <c r="F32" s="28">
        <f>IF(B32&lt;&gt;"TOTAL",IF(B32="","",-PPMT($D$4,B32,$D$5,$D$2-$D$3)),SUM(F$25:F31))</f>
        <v>9762.290859870587</v>
      </c>
      <c r="G32" s="41">
        <f t="shared" si="1"/>
        <v>338530.746472223</v>
      </c>
      <c r="H32" s="27"/>
      <c r="I32" s="28">
        <f>IF(B32&lt;&gt;"TOTAL",IF(B32="","",I31*(1+$D$11)),SUM($I$25:I31))</f>
        <v>38686.92462960643</v>
      </c>
      <c r="J32" s="28">
        <f t="shared" si="2"/>
        <v>3223.910385800536</v>
      </c>
      <c r="K32" s="28"/>
      <c r="L32" s="28">
        <f>IF(B32&lt;&gt;"TOTAL",IF(B32="","",C31-I31),SUM($L$25:L31))</f>
        <v>929.6795435579261</v>
      </c>
      <c r="M32" s="28">
        <f>IF(B32&lt;&gt;"TOTAL",IF(B32="","",(N31+L32)*$D$19),SUM($M$25:M31))</f>
        <v>16170.044978122407</v>
      </c>
      <c r="N32" s="28">
        <f t="shared" si="3"/>
        <v>264939.9677184671</v>
      </c>
    </row>
    <row r="33" spans="2:14" ht="18.75" customHeight="1">
      <c r="B33" s="7">
        <f t="shared" si="0"/>
        <v>9</v>
      </c>
      <c r="C33" s="28">
        <f>IF(B33&lt;&gt;"TOTAL",IF(B33="","",-$D$8*$I$5),SUM(C$25:C32))</f>
        <v>35471.57653427795</v>
      </c>
      <c r="D33" s="27">
        <f>IF(B33&lt;&gt;"TOTAL",IF(B33="","",C33-F33),SUM(D$25:D32))</f>
        <v>24977.11385991707</v>
      </c>
      <c r="F33" s="28">
        <f>IF(B33&lt;&gt;"TOTAL",IF(B33="","",-PPMT($D$4,B33,$D$5,$D$2-$D$3)),SUM(F$25:F32))</f>
        <v>10494.462674360879</v>
      </c>
      <c r="G33" s="41">
        <f t="shared" si="1"/>
        <v>328036.2837978621</v>
      </c>
      <c r="H33" s="27"/>
      <c r="I33" s="28">
        <f>IF(B33&lt;&gt;"TOTAL",IF(B33="","",I32*(1+$D$11)),SUM($I$25:I32))</f>
        <v>43329.3555851592</v>
      </c>
      <c r="J33" s="28">
        <f t="shared" si="2"/>
        <v>3610.7796320966004</v>
      </c>
      <c r="K33" s="28"/>
      <c r="L33" s="28">
        <f>IF(B33&lt;&gt;"TOTAL",IF(B33="","",C32-I32),SUM($L$25:L32))</f>
        <v>-3215.3480953284816</v>
      </c>
      <c r="M33" s="28">
        <f>IF(B33&lt;&gt;"TOTAL",IF(B33="","",(N32+L33)*$D$19),SUM($M$25:M32))</f>
        <v>17012.10027550401</v>
      </c>
      <c r="N33" s="28">
        <f t="shared" si="3"/>
        <v>278736.7198986426</v>
      </c>
    </row>
    <row r="34" spans="2:14" ht="18.75" customHeight="1">
      <c r="B34" s="7">
        <f t="shared" si="0"/>
        <v>10</v>
      </c>
      <c r="C34" s="28">
        <f>IF(B34&lt;&gt;"TOTAL",IF(B34="","",-$D$8*$I$5),SUM(C$25:C33))</f>
        <v>35471.57653427795</v>
      </c>
      <c r="D34" s="27">
        <f>IF(B34&lt;&gt;"TOTAL",IF(B34="","",C34-F34),SUM(D$25:D33))</f>
        <v>24190.029159340003</v>
      </c>
      <c r="F34" s="28">
        <f>IF(B34&lt;&gt;"TOTAL",IF(B34="","",-PPMT($D$4,B34,$D$5,$D$2-$D$3)),SUM(F$25:F33))</f>
        <v>11281.547374937945</v>
      </c>
      <c r="G34" s="41">
        <f t="shared" si="1"/>
        <v>316754.7364229242</v>
      </c>
      <c r="H34" s="27"/>
      <c r="I34" s="28">
        <f>IF(B34&lt;&gt;"TOTAL",IF(B34="","",I33*(1+$D$11)),SUM($I$25:I33))</f>
        <v>48528.87825537831</v>
      </c>
      <c r="J34" s="28">
        <f t="shared" si="2"/>
        <v>4044.0731879481923</v>
      </c>
      <c r="K34" s="28"/>
      <c r="L34" s="28">
        <f>IF(B34&lt;&gt;"TOTAL",IF(B34="","",C33-I33),SUM($L$25:L33))</f>
        <v>-7857.779050881254</v>
      </c>
      <c r="M34" s="28">
        <f>IF(B34&lt;&gt;"TOTAL",IF(B34="","",(N33+L34)*$D$19),SUM($M$25:M33))</f>
        <v>17607.13115510449</v>
      </c>
      <c r="N34" s="28">
        <f t="shared" si="3"/>
        <v>288486.07200286584</v>
      </c>
    </row>
    <row r="35" spans="2:14" ht="18.75" customHeight="1">
      <c r="B35" s="7">
        <f t="shared" si="0"/>
        <v>11</v>
      </c>
      <c r="C35" s="28">
        <f>IF(B35&lt;&gt;"TOTAL",IF(B35="","",-$D$8*$I$5),SUM(C$25:C34))</f>
        <v>35471.57653427795</v>
      </c>
      <c r="D35" s="27">
        <f>IF(B35&lt;&gt;"TOTAL",IF(B35="","",C35-F35),SUM(D$25:D34))</f>
        <v>23343.913106219657</v>
      </c>
      <c r="F35" s="28">
        <f>IF(B35&lt;&gt;"TOTAL",IF(B35="","",-PPMT($D$4,B35,$D$5,$D$2-$D$3)),SUM(F$25:F34))</f>
        <v>12127.663428058291</v>
      </c>
      <c r="G35" s="41">
        <f t="shared" si="1"/>
        <v>304627.07299486594</v>
      </c>
      <c r="H35" s="27"/>
      <c r="I35" s="28">
        <f>IF(B35&lt;&gt;"TOTAL",IF(B35="","",I34*(1+$D$11)),SUM($I$25:I34))</f>
        <v>54352.34364602371</v>
      </c>
      <c r="J35" s="28">
        <f t="shared" si="2"/>
        <v>4529.361970501976</v>
      </c>
      <c r="K35" s="28"/>
      <c r="L35" s="28">
        <f>IF(B35&lt;&gt;"TOTAL",IF(B35="","",C34-I34),SUM($L$25:L34))</f>
        <v>-13057.30172110036</v>
      </c>
      <c r="M35" s="28">
        <f>IF(B35&lt;&gt;"TOTAL",IF(B35="","",(N34+L35)*$D$19),SUM($M$25:M34))</f>
        <v>17902.870068314758</v>
      </c>
      <c r="N35" s="28">
        <f t="shared" si="3"/>
        <v>293331.64035008027</v>
      </c>
    </row>
    <row r="36" spans="2:14" ht="18.75" customHeight="1">
      <c r="B36" s="7">
        <f t="shared" si="0"/>
        <v>12</v>
      </c>
      <c r="C36" s="28">
        <f>IF(B36&lt;&gt;"TOTAL",IF(B36="","",-$D$8*$I$5),SUM(C$25:C35))</f>
        <v>35471.57653427795</v>
      </c>
      <c r="D36" s="27">
        <f>IF(B36&lt;&gt;"TOTAL",IF(B36="","",C36-F36),SUM(D$25:D35))</f>
        <v>22434.33834911528</v>
      </c>
      <c r="F36" s="28">
        <f>IF(B36&lt;&gt;"TOTAL",IF(B36="","",-PPMT($D$4,B36,$D$5,$D$2-$D$3)),SUM(F$25:F35))</f>
        <v>13037.238185162667</v>
      </c>
      <c r="G36" s="41">
        <f t="shared" si="1"/>
        <v>291589.8348097033</v>
      </c>
      <c r="H36" s="27"/>
      <c r="I36" s="28">
        <f>IF(B36&lt;&gt;"TOTAL",IF(B36="","",I35*(1+$D$11)),SUM($I$25:I35))</f>
        <v>60874.62488354657</v>
      </c>
      <c r="J36" s="28">
        <f t="shared" si="2"/>
        <v>5072.885406962214</v>
      </c>
      <c r="K36" s="28"/>
      <c r="L36" s="28">
        <f>IF(B36&lt;&gt;"TOTAL",IF(B36="","",C35-I35),SUM($L$25:L35))</f>
        <v>-18880.767111745765</v>
      </c>
      <c r="M36" s="28">
        <f>IF(B36&lt;&gt;"TOTAL",IF(B36="","",(N35+L36)*$D$19),SUM($M$25:M35))</f>
        <v>17839.30676049174</v>
      </c>
      <c r="N36" s="28">
        <f t="shared" si="3"/>
        <v>292290.17999882624</v>
      </c>
    </row>
    <row r="37" spans="2:14" ht="18.75" customHeight="1">
      <c r="B37" s="7">
        <f t="shared" si="0"/>
        <v>13</v>
      </c>
      <c r="C37" s="28">
        <f>IF(B37&lt;&gt;"TOTAL",IF(B37="","",-$D$8*$I$5),SUM(C$25:C36))</f>
        <v>35471.57653427795</v>
      </c>
      <c r="D37" s="27">
        <f>IF(B37&lt;&gt;"TOTAL",IF(B37="","",C37-F37),SUM(D$25:D36))</f>
        <v>21456.54548522809</v>
      </c>
      <c r="F37" s="28">
        <f>IF(B37&lt;&gt;"TOTAL",IF(B37="","",-PPMT($D$4,B37,$D$5,$D$2-$D$3)),SUM(F$25:F36))</f>
        <v>14015.03104904986</v>
      </c>
      <c r="G37" s="41">
        <f t="shared" si="1"/>
        <v>277574.8037606534</v>
      </c>
      <c r="H37" s="27"/>
      <c r="I37" s="28">
        <f>IF(B37&lt;&gt;"TOTAL",IF(B37="","",I36*(1+$D$11)),SUM($I$25:I36))</f>
        <v>68179.57986957216</v>
      </c>
      <c r="J37" s="28">
        <f t="shared" si="2"/>
        <v>5681.63165579768</v>
      </c>
      <c r="K37" s="28"/>
      <c r="L37" s="28">
        <f>IF(B37&lt;&gt;"TOTAL",IF(B37="","",C36-I36),SUM($L$25:L36))</f>
        <v>-25403.048349268618</v>
      </c>
      <c r="M37" s="28">
        <f>IF(B37&lt;&gt;"TOTAL",IF(B37="","",(N36+L37)*$D$19),SUM($M$25:M36))</f>
        <v>17347.663557221247</v>
      </c>
      <c r="N37" s="28">
        <f t="shared" si="3"/>
        <v>284234.79520677886</v>
      </c>
    </row>
    <row r="38" spans="2:15" ht="18.75" customHeight="1">
      <c r="B38" s="7">
        <f t="shared" si="0"/>
        <v>14</v>
      </c>
      <c r="C38" s="28">
        <f>IF(B38&lt;&gt;"TOTAL",IF(B38="","",-$D$8*$I$5),SUM(C$25:C37))</f>
        <v>35471.57653427795</v>
      </c>
      <c r="D38" s="27">
        <f>IF(B38&lt;&gt;"TOTAL",IF(B38="","",C38-F38),SUM(D$25:D37))</f>
        <v>20405.418156549345</v>
      </c>
      <c r="F38" s="28">
        <f>IF(B38&lt;&gt;"TOTAL",IF(B38="","",-PPMT($D$4,B38,$D$5,$D$2-$D$3)),SUM(F$25:F37))</f>
        <v>15066.158377728603</v>
      </c>
      <c r="G38" s="41">
        <f t="shared" si="1"/>
        <v>262508.6453829248</v>
      </c>
      <c r="H38" s="27"/>
      <c r="I38" s="28">
        <f>IF(B38&lt;&gt;"TOTAL",IF(B38="","",I37*(1+$D$11)),SUM($I$25:I37))</f>
        <v>76361.12945392083</v>
      </c>
      <c r="J38" s="28">
        <f t="shared" si="2"/>
        <v>6363.427454493402</v>
      </c>
      <c r="K38" s="28"/>
      <c r="L38" s="28">
        <f>IF(B38&lt;&gt;"TOTAL",IF(B38="","",C37-I37),SUM($L$25:L37))</f>
        <v>-32708.003335294212</v>
      </c>
      <c r="M38" s="28">
        <f>IF(B38&lt;&gt;"TOTAL",IF(B38="","",(N37+L38)*$D$19),SUM($M$25:M37))</f>
        <v>16349.241471646503</v>
      </c>
      <c r="N38" s="28">
        <f t="shared" si="3"/>
        <v>267876.0333431312</v>
      </c>
      <c r="O38" s="34"/>
    </row>
    <row r="39" spans="2:15" ht="18.75" customHeight="1">
      <c r="B39" s="7">
        <f t="shared" si="0"/>
        <v>15</v>
      </c>
      <c r="C39" s="28">
        <f>IF(B39&lt;&gt;"TOTAL",IF(B39="","",-$D$8*$I$5),SUM(C$25:C38))</f>
        <v>35471.57653427795</v>
      </c>
      <c r="D39" s="27">
        <f>IF(B39&lt;&gt;"TOTAL",IF(B39="","",C39-F39),SUM(D$25:D38))</f>
        <v>19275.456278219706</v>
      </c>
      <c r="F39" s="28">
        <f>IF(B39&lt;&gt;"TOTAL",IF(B39="","",-PPMT($D$4,B39,$D$5,$D$2-$D$3)),SUM(F$25:F38))</f>
        <v>16196.120256058242</v>
      </c>
      <c r="G39" s="41">
        <f t="shared" si="1"/>
        <v>246312.5251268666</v>
      </c>
      <c r="H39" s="27"/>
      <c r="I39" s="28">
        <f>IF(B39&lt;&gt;"TOTAL",IF(B39="","",I38*(1+$D$11)),SUM($I$25:I38))</f>
        <v>85524.46498839134</v>
      </c>
      <c r="J39" s="28">
        <f t="shared" si="2"/>
        <v>7127.038749032611</v>
      </c>
      <c r="K39" s="28"/>
      <c r="L39" s="28">
        <f>IF(B39&lt;&gt;"TOTAL",IF(B39="","",C38-I38),SUM($L$25:L38))</f>
        <v>-40889.55291964288</v>
      </c>
      <c r="M39" s="28">
        <f>IF(B39&lt;&gt;"TOTAL",IF(B39="","",(N38+L39)*$D$19),SUM($M$25:M38))</f>
        <v>14754.12122752674</v>
      </c>
      <c r="N39" s="28">
        <f t="shared" si="3"/>
        <v>241740.60165101505</v>
      </c>
      <c r="O39" s="34"/>
    </row>
    <row r="40" spans="2:15" ht="18.75" customHeight="1">
      <c r="B40" s="7">
        <f t="shared" si="0"/>
        <v>16</v>
      </c>
      <c r="C40" s="28">
        <f>IF(B40&lt;&gt;"TOTAL",IF(B40="","",-$D$8*$I$5),SUM(C$25:C39))</f>
        <v>35471.57653427795</v>
      </c>
      <c r="D40" s="27">
        <f>IF(B40&lt;&gt;"TOTAL",IF(B40="","",C40-F40),SUM(D$25:D39))</f>
        <v>18060.747259015334</v>
      </c>
      <c r="F40" s="28">
        <f>IF(B40&lt;&gt;"TOTAL",IF(B40="","",-PPMT($D$4,B40,$D$5,$D$2-$D$3)),SUM(F$25:F39))</f>
        <v>17410.829275262615</v>
      </c>
      <c r="G40" s="41">
        <f t="shared" si="1"/>
        <v>228901.695851604</v>
      </c>
      <c r="H40" s="27"/>
      <c r="I40" s="28">
        <f>IF(B40&lt;&gt;"TOTAL",IF(B40="","",I39*(1+$D$11)),SUM($I$25:I39))</f>
        <v>95787.4007869983</v>
      </c>
      <c r="J40" s="28">
        <f t="shared" si="2"/>
        <v>7982.283398916526</v>
      </c>
      <c r="K40" s="28"/>
      <c r="L40" s="28">
        <f>IF(B40&lt;&gt;"TOTAL",IF(B40="","",C39-I39),SUM($L$25:L39))</f>
        <v>-50052.88845411339</v>
      </c>
      <c r="M40" s="28">
        <f>IF(B40&lt;&gt;"TOTAL",IF(B40="","",(N39+L40)*$D$19),SUM($M$25:M39))</f>
        <v>12459.701357798609</v>
      </c>
      <c r="N40" s="28">
        <f t="shared" si="3"/>
        <v>204147.41455470028</v>
      </c>
      <c r="O40" s="34"/>
    </row>
    <row r="41" spans="2:15" ht="18.75" customHeight="1">
      <c r="B41" s="7">
        <f t="shared" si="0"/>
        <v>17</v>
      </c>
      <c r="C41" s="28">
        <f>IF(B41&lt;&gt;"TOTAL",IF(B41="","",-$D$8*$I$5),SUM(C$25:C40))</f>
        <v>35471.57653427795</v>
      </c>
      <c r="D41" s="27">
        <f>IF(B41&lt;&gt;"TOTAL",IF(B41="","",C41-F41),SUM(D$25:D40))</f>
        <v>16754.93506337064</v>
      </c>
      <c r="F41" s="28">
        <f>IF(B41&lt;&gt;"TOTAL",IF(B41="","",-PPMT($D$4,B41,$D$5,$D$2-$D$3)),SUM(F$25:F40))</f>
        <v>18716.641470907307</v>
      </c>
      <c r="G41" s="41">
        <f t="shared" si="1"/>
        <v>210185.05438069667</v>
      </c>
      <c r="H41" s="27"/>
      <c r="I41" s="28">
        <f>IF(B41&lt;&gt;"TOTAL",IF(B41="","",I40*(1+$D$11)),SUM($I$25:I40))</f>
        <v>107281.8888814381</v>
      </c>
      <c r="J41" s="28">
        <f t="shared" si="2"/>
        <v>8940.15740678651</v>
      </c>
      <c r="K41" s="28"/>
      <c r="L41" s="28">
        <f>IF(B41&lt;&gt;"TOTAL",IF(B41="","",C40-I40),SUM($L$25:L40))</f>
        <v>-60315.824252720355</v>
      </c>
      <c r="M41" s="28">
        <f>IF(B41&lt;&gt;"TOTAL",IF(B41="","",(N40+L41)*$D$19),SUM($M$25:M40))</f>
        <v>9349.053369628695</v>
      </c>
      <c r="N41" s="28">
        <f t="shared" si="3"/>
        <v>153180.64367160862</v>
      </c>
      <c r="O41" s="34"/>
    </row>
    <row r="42" spans="2:15" ht="18.75" customHeight="1">
      <c r="B42" s="7">
        <f t="shared" si="0"/>
        <v>18</v>
      </c>
      <c r="C42" s="28">
        <f>IF(B42&lt;&gt;"TOTAL",IF(B42="","",-$D$8*$I$5),SUM(C$25:C41))</f>
        <v>35471.57653427795</v>
      </c>
      <c r="D42" s="27">
        <f>IF(B42&lt;&gt;"TOTAL",IF(B42="","",C42-F42),SUM(D$25:D41))</f>
        <v>15351.18695305258</v>
      </c>
      <c r="F42" s="28">
        <f>IF(B42&lt;&gt;"TOTAL",IF(B42="","",-PPMT($D$4,B42,$D$5,$D$2-$D$3)),SUM(F$25:F41))</f>
        <v>20120.38958122537</v>
      </c>
      <c r="G42" s="41">
        <f t="shared" si="1"/>
        <v>190064.6647994713</v>
      </c>
      <c r="H42" s="27"/>
      <c r="I42" s="28">
        <f>IF(B42&lt;&gt;"TOTAL",IF(B42="","",I41*(1+$D$11)),SUM($I$25:I41))</f>
        <v>120155.7155472107</v>
      </c>
      <c r="J42" s="28">
        <f t="shared" si="2"/>
        <v>10012.97629560089</v>
      </c>
      <c r="K42" s="28"/>
      <c r="L42" s="28">
        <f>IF(B42&lt;&gt;"TOTAL",IF(B42="","",C41-I41),SUM($L$25:L41))</f>
        <v>-71810.31234716016</v>
      </c>
      <c r="M42" s="28">
        <f>IF(B42&lt;&gt;"TOTAL",IF(B42="","",(N41+L42)*$D$19),SUM($M$25:M41))</f>
        <v>5289.07153608915</v>
      </c>
      <c r="N42" s="28">
        <f t="shared" si="3"/>
        <v>86659.40286053761</v>
      </c>
      <c r="O42" s="34"/>
    </row>
    <row r="43" spans="2:15" ht="18.75" customHeight="1">
      <c r="B43" s="7">
        <f t="shared" si="0"/>
        <v>19</v>
      </c>
      <c r="C43" s="28">
        <f>IF(B43&lt;&gt;"TOTAL",IF(B43="","",-$D$8*$I$5),SUM(C$25:C42))</f>
        <v>35471.57653427795</v>
      </c>
      <c r="D43" s="27">
        <f>IF(B43&lt;&gt;"TOTAL",IF(B43="","",C43-F43),SUM(D$25:D42))</f>
        <v>13842.157734460678</v>
      </c>
      <c r="F43" s="28">
        <f>IF(B43&lt;&gt;"TOTAL",IF(B43="","",-PPMT($D$4,B43,$D$5,$D$2-$D$3)),SUM(F$25:F42))</f>
        <v>21629.41879981727</v>
      </c>
      <c r="G43" s="41">
        <f t="shared" si="1"/>
        <v>168435.24599965403</v>
      </c>
      <c r="H43" s="27"/>
      <c r="I43" s="28">
        <f>IF(B43&lt;&gt;"TOTAL",IF(B43="","",I42*(1+$D$11)),SUM($I$25:I42))</f>
        <v>134574.401412876</v>
      </c>
      <c r="J43" s="28">
        <f t="shared" si="2"/>
        <v>11214.533451073</v>
      </c>
      <c r="K43" s="28"/>
      <c r="L43" s="28">
        <f>IF(B43&lt;&gt;"TOTAL",IF(B43="","",C42-I42),SUM($L$25:L42))</f>
        <v>-84684.13901293275</v>
      </c>
      <c r="M43" s="28">
        <f>IF(B43&lt;&gt;"TOTAL",IF(B43="","",(N42+L43)*$D$19),SUM($M$25:M42))</f>
        <v>128.39215009431587</v>
      </c>
      <c r="N43" s="28">
        <f t="shared" si="3"/>
        <v>2103.6559976991757</v>
      </c>
      <c r="O43" s="34"/>
    </row>
    <row r="44" spans="2:15" ht="18.75" customHeight="1">
      <c r="B44" s="7">
        <f t="shared" si="0"/>
        <v>20</v>
      </c>
      <c r="C44" s="28">
        <f>IF(B44&lt;&gt;"TOTAL",IF(B44="","",-$D$8*$I$5),SUM(C$25:C43))</f>
        <v>35471.57653427795</v>
      </c>
      <c r="D44" s="27">
        <f>IF(B44&lt;&gt;"TOTAL",IF(B44="","",C44-F44),SUM(D$25:D43))</f>
        <v>12219.95132447438</v>
      </c>
      <c r="F44" s="28">
        <f>IF(B44&lt;&gt;"TOTAL",IF(B44="","",-PPMT($D$4,B44,$D$5,$D$2-$D$3)),SUM(F$25:F43))</f>
        <v>23251.62520980357</v>
      </c>
      <c r="G44" s="41">
        <f t="shared" si="1"/>
        <v>145183.62078985045</v>
      </c>
      <c r="H44" s="27"/>
      <c r="I44" s="28">
        <f>IF(B44&lt;&gt;"TOTAL",IF(B44="","",I43*(1+$D$11)),SUM($I$25:I43))</f>
        <v>150723.32958242114</v>
      </c>
      <c r="J44" s="28">
        <f t="shared" si="2"/>
        <v>12560.277465201762</v>
      </c>
      <c r="K44" s="28"/>
      <c r="L44" s="28">
        <f>IF(B44&lt;&gt;"TOTAL",IF(B44="","",C43-I43),SUM($L$25:L43))</f>
        <v>-99102.82487859805</v>
      </c>
      <c r="M44" s="28">
        <f>IF(B44&lt;&gt;"TOTAL",IF(B44="","",(N43+L44)*$D$19),SUM($M$25:M43))</f>
        <v>-6304.945977258428</v>
      </c>
      <c r="N44" s="28">
        <f t="shared" si="3"/>
        <v>-103304.1148581573</v>
      </c>
      <c r="O44" s="34"/>
    </row>
    <row r="45" spans="2:15" ht="18.75" customHeight="1">
      <c r="B45" s="7">
        <f t="shared" si="0"/>
        <v>21</v>
      </c>
      <c r="C45" s="28">
        <f>IF(B45&lt;&gt;"TOTAL",IF(B45="","",-$D$8*$I$5),SUM(C$25:C44))</f>
        <v>35471.57653427795</v>
      </c>
      <c r="D45" s="27">
        <f>IF(B45&lt;&gt;"TOTAL",IF(B45="","",C45-F45),SUM(D$25:D44))</f>
        <v>10476.07943373912</v>
      </c>
      <c r="F45" s="28">
        <f>IF(B45&lt;&gt;"TOTAL",IF(B45="","",-PPMT($D$4,B45,$D$5,$D$2-$D$3)),SUM(F$25:F44))</f>
        <v>24995.49710053883</v>
      </c>
      <c r="G45" s="41">
        <f t="shared" si="1"/>
        <v>120188.12368931161</v>
      </c>
      <c r="H45" s="27"/>
      <c r="I45" s="28">
        <f>IF(B45&lt;&gt;"TOTAL",IF(B45="","",I44*(1+$D$11)),SUM($I$25:I44))</f>
        <v>168810.1291323117</v>
      </c>
      <c r="J45" s="28">
        <f t="shared" si="2"/>
        <v>14067.510761025975</v>
      </c>
      <c r="K45" s="28"/>
      <c r="L45" s="28">
        <f>IF(B45&lt;&gt;"TOTAL",IF(B45="","",C44-I44),SUM($L$25:L44))</f>
        <v>-115251.75304814319</v>
      </c>
      <c r="M45" s="28">
        <f>IF(B45&lt;&gt;"TOTAL",IF(B45="","",(N44+L45)*$D$19),SUM($M$25:M44))</f>
        <v>-14206.131413909532</v>
      </c>
      <c r="N45" s="28">
        <f t="shared" si="3"/>
        <v>-232761.99932021002</v>
      </c>
      <c r="O45" s="34"/>
    </row>
    <row r="46" spans="2:15" ht="18.75" customHeight="1">
      <c r="B46" s="7">
        <f t="shared" si="0"/>
        <v>22</v>
      </c>
      <c r="C46" s="28">
        <f>IF(B46&lt;&gt;"TOTAL",IF(B46="","",-$D$8*$I$5),SUM(C$25:C45))</f>
        <v>35471.57653427795</v>
      </c>
      <c r="D46" s="27">
        <f>IF(B46&lt;&gt;"TOTAL",IF(B46="","",C46-F46),SUM(D$25:D45))</f>
        <v>8601.41715119873</v>
      </c>
      <c r="F46" s="28">
        <f>IF(B46&lt;&gt;"TOTAL",IF(B46="","",-PPMT($D$4,B46,$D$5,$D$2-$D$3)),SUM(F$25:F45))</f>
        <v>26870.15938307922</v>
      </c>
      <c r="G46" s="41">
        <f t="shared" si="1"/>
        <v>93317.9643062324</v>
      </c>
      <c r="H46" s="27"/>
      <c r="I46" s="28">
        <f>IF(B46&lt;&gt;"TOTAL",IF(B46="","",I45*(1+$D$11)),SUM($I$25:I45))</f>
        <v>189067.34462818914</v>
      </c>
      <c r="J46" s="28">
        <f t="shared" si="2"/>
        <v>15755.612052349095</v>
      </c>
      <c r="K46" s="28"/>
      <c r="L46" s="28">
        <f>IF(B46&lt;&gt;"TOTAL",IF(B46="","",C45-I45),SUM($L$25:L45))</f>
        <v>-133338.55259803374</v>
      </c>
      <c r="M46" s="28">
        <f>IF(B46&lt;&gt;"TOTAL",IF(B46="","",(N45+L46)*$D$19),SUM($M$25:M45))</f>
        <v>-23796.535874685844</v>
      </c>
      <c r="N46" s="28">
        <f t="shared" si="3"/>
        <v>-389897.0877929296</v>
      </c>
      <c r="O46" s="34"/>
    </row>
    <row r="47" spans="2:15" ht="18.75" customHeight="1">
      <c r="B47" s="7">
        <f t="shared" si="0"/>
        <v>23</v>
      </c>
      <c r="C47" s="28">
        <f>IF(B47&lt;&gt;"TOTAL",IF(B47="","",-$D$8*$I$5),SUM(C$25:C46))</f>
        <v>35471.57653427795</v>
      </c>
      <c r="D47" s="27">
        <f>IF(B47&lt;&gt;"TOTAL",IF(B47="","",C47-F47),SUM(D$25:D46))</f>
        <v>6586.155197467782</v>
      </c>
      <c r="F47" s="28">
        <f>IF(B47&lt;&gt;"TOTAL",IF(B47="","",-PPMT($D$4,B47,$D$5,$D$2-$D$3)),SUM(F$25:F46))</f>
        <v>28885.421336810166</v>
      </c>
      <c r="G47" s="41">
        <f t="shared" si="1"/>
        <v>64432.54296942224</v>
      </c>
      <c r="H47" s="27"/>
      <c r="I47" s="28">
        <f>IF(B47&lt;&gt;"TOTAL",IF(B47="","",I46*(1+$D$11)),SUM($I$25:I46))</f>
        <v>211755.42598357185</v>
      </c>
      <c r="J47" s="28">
        <f t="shared" si="2"/>
        <v>17646.285498630987</v>
      </c>
      <c r="K47" s="28"/>
      <c r="L47" s="28">
        <f>IF(B47&lt;&gt;"TOTAL",IF(B47="","",C46-I46),SUM($L$25:L46))</f>
        <v>-153595.76809391117</v>
      </c>
      <c r="M47" s="28">
        <f>IF(B47&lt;&gt;"TOTAL",IF(B47="","",(N46+L47)*$D$19),SUM($M$25:M46))</f>
        <v>-35327.03563264465</v>
      </c>
      <c r="N47" s="28">
        <f t="shared" si="3"/>
        <v>-578819.8915194854</v>
      </c>
      <c r="O47" s="34"/>
    </row>
    <row r="48" spans="2:15" ht="18.75" customHeight="1">
      <c r="B48" s="7">
        <f t="shared" si="0"/>
        <v>24</v>
      </c>
      <c r="C48" s="28">
        <f>IF(B48&lt;&gt;"TOTAL",IF(B48="","",-$D$8*$I$5),SUM(C$25:C47))</f>
        <v>35471.57653427795</v>
      </c>
      <c r="D48" s="27">
        <f>IF(B48&lt;&gt;"TOTAL",IF(B48="","",C48-F48),SUM(D$25:D47))</f>
        <v>4419.748597207024</v>
      </c>
      <c r="F48" s="28">
        <f>IF(B48&lt;&gt;"TOTAL",IF(B48="","",-PPMT($D$4,B48,$D$5,$D$2-$D$3)),SUM(F$25:F47))</f>
        <v>31051.827937070924</v>
      </c>
      <c r="G48" s="41">
        <f t="shared" si="1"/>
        <v>33380.71503235132</v>
      </c>
      <c r="H48" s="27"/>
      <c r="I48" s="28">
        <f>IF(B48&lt;&gt;"TOTAL",IF(B48="","",I47*(1+$D$11)),SUM($I$25:I47))</f>
        <v>237166.0771016005</v>
      </c>
      <c r="J48" s="28">
        <f t="shared" si="2"/>
        <v>19763.839758466707</v>
      </c>
      <c r="K48" s="28"/>
      <c r="L48" s="28">
        <f>IF(B48&lt;&gt;"TOTAL",IF(B48="","",C47-I47),SUM($L$25:L47))</f>
        <v>-176283.84944929392</v>
      </c>
      <c r="M48" s="28">
        <f>IF(B48&lt;&gt;"TOTAL",IF(B48="","",(N47+L48)*$D$19),SUM($M$25:M47))</f>
        <v>-49081.743162970655</v>
      </c>
      <c r="N48" s="28">
        <f t="shared" si="3"/>
        <v>-804185.48413175</v>
      </c>
      <c r="O48" s="34"/>
    </row>
    <row r="49" spans="2:15" ht="18.75" customHeight="1">
      <c r="B49" s="7">
        <f t="shared" si="0"/>
        <v>25</v>
      </c>
      <c r="C49" s="28">
        <f>IF(B49&lt;&gt;"TOTAL",IF(B49="","",-$D$8*$I$5),SUM(C$25:C48))</f>
        <v>35471.57653427795</v>
      </c>
      <c r="D49" s="27">
        <f>IF(B49&lt;&gt;"TOTAL",IF(B49="","",C49-F49),SUM(D$25:D48))</f>
        <v>2090.8615019267163</v>
      </c>
      <c r="F49" s="28">
        <f>IF(B49&lt;&gt;"TOTAL",IF(B49="","",-PPMT($D$4,B49,$D$5,$D$2-$D$3)),SUM(F$25:F48))</f>
        <v>33380.71503235123</v>
      </c>
      <c r="G49" s="41">
        <f t="shared" si="1"/>
        <v>8.731149137020111E-11</v>
      </c>
      <c r="H49" s="27"/>
      <c r="I49" s="28">
        <f>IF(B49&lt;&gt;"TOTAL",IF(B49="","",I48*(1+$D$11)),SUM($I$25:I48))</f>
        <v>265626.00635379256</v>
      </c>
      <c r="J49" s="28">
        <f t="shared" si="2"/>
        <v>22135.500529482713</v>
      </c>
      <c r="K49" s="28"/>
      <c r="L49" s="28">
        <f>IF(B49&lt;&gt;"TOTAL",IF(B49="","",C48-I48),SUM($L$25:L48))</f>
        <v>-201694.50056732254</v>
      </c>
      <c r="M49" s="28">
        <f>IF(B49&lt;&gt;"TOTAL",IF(B49="","",(N48+L49)*$D$19),SUM($M$25:M48))</f>
        <v>-65382.19900543972</v>
      </c>
      <c r="N49" s="28">
        <f t="shared" si="3"/>
        <v>-1071262.1837045122</v>
      </c>
      <c r="O49" s="34"/>
    </row>
    <row r="50" spans="2:14" ht="18.75" customHeight="1">
      <c r="B50" s="7" t="str">
        <f t="shared" si="0"/>
        <v>TOTAL</v>
      </c>
      <c r="C50" s="28">
        <f>IF(B50&lt;&gt;"TOTAL",IF(B50="","",-$D$8*$I$5),SUM(C$25:C49))</f>
        <v>886789.413356949</v>
      </c>
      <c r="D50" s="27">
        <f>IF(B50&lt;&gt;"TOTAL",IF(B50="","",C50-F50),SUM(D$25:D49))</f>
        <v>486789.41335694864</v>
      </c>
      <c r="F50" s="28">
        <f>IF(B50&lt;&gt;"TOTAL",IF(B50="","",-PPMT($D$4,B50,$D$5,$D$2-$D$3)),SUM(F$25:F49))</f>
        <v>400000</v>
      </c>
      <c r="G50" s="41">
        <f t="shared" si="1"/>
      </c>
      <c r="H50" s="27"/>
      <c r="I50" s="28">
        <f>IF(B50&lt;&gt;"TOTAL",IF(B50="","",I49*(1+$D$11)),SUM($I$25:I49))</f>
        <v>2333342.7259687292</v>
      </c>
      <c r="J50" s="28">
        <f t="shared" si="2"/>
      </c>
      <c r="K50" s="28"/>
      <c r="L50" s="28">
        <f>IF(B50&lt;&gt;"TOTAL",IF(B50="","",C49-I49),SUM($L$25:L49))</f>
        <v>-1116398.8827922654</v>
      </c>
      <c r="M50" s="28">
        <f>IF(B50&lt;&gt;"TOTAL",IF(B50="","",(N49+L50)*$D$19),SUM($M$25:M49))</f>
        <v>45136.69908775299</v>
      </c>
      <c r="N50" s="28">
        <f t="shared" si="3"/>
        <v>-1071262.1837045122</v>
      </c>
    </row>
    <row r="51" spans="2:14" ht="18.75" customHeight="1">
      <c r="B51" s="7">
        <f t="shared" si="0"/>
      </c>
      <c r="C51" s="28">
        <f>IF(B51&lt;&gt;"TOTAL",IF(B51="","",-$D$8*$I$5),SUM(C$25:C50))</f>
      </c>
      <c r="D51" s="27">
        <f>IF(B51&lt;&gt;"TOTAL",IF(B51="","",C51-F51),SUM(D$25:D50))</f>
      </c>
      <c r="F51" s="28">
        <f>IF(B51&lt;&gt;"TOTAL",IF(B51="","",-PPMT($D$4,B51,$D$5,$D$2-$D$3)),SUM(F$25:F50))</f>
      </c>
      <c r="G51" s="41">
        <f t="shared" si="1"/>
      </c>
      <c r="I51" s="28">
        <f>IF(B51&lt;&gt;"TOTAL",IF(B51="","",I50*(1+$D$11)),SUM($I$25:I50))</f>
      </c>
      <c r="J51" s="28">
        <f t="shared" si="2"/>
      </c>
      <c r="L51" s="28">
        <f>IF(B51&lt;&gt;"TOTAL",IF(B51="","",C50-I50),SUM($L$25:L50))</f>
      </c>
      <c r="M51" s="28">
        <f>IF(B51&lt;&gt;"TOTAL",IF(B51="","",(N50+L51)*$D$19),SUM($M$25:M50))</f>
      </c>
      <c r="N51" s="28">
        <f t="shared" si="3"/>
      </c>
    </row>
    <row r="52" spans="2:14" ht="18.75" customHeight="1">
      <c r="B52" s="7">
        <f t="shared" si="0"/>
      </c>
      <c r="C52" s="28">
        <f>IF(B52&lt;&gt;"TOTAL",IF(B52="","",-$D$8*$I$5),SUM(C$25:C51))</f>
      </c>
      <c r="D52" s="27">
        <f>IF(B52&lt;&gt;"TOTAL",IF(B52="","",C52-F52),SUM(D$25:D51))</f>
      </c>
      <c r="F52" s="28">
        <f>IF(B52&lt;&gt;"TOTAL",IF(B52="","",-PPMT($D$4,B52,$D$5,$D$2-$D$3)),SUM(F$25:F51))</f>
      </c>
      <c r="G52" s="41">
        <f t="shared" si="1"/>
      </c>
      <c r="I52" s="28">
        <f>IF(B52&lt;&gt;"TOTAL",IF(B52="","",I51*(1+$D$11)),SUM($I$25:I51))</f>
      </c>
      <c r="J52" s="28">
        <f t="shared" si="2"/>
      </c>
      <c r="L52" s="28">
        <f>IF(B52&lt;&gt;"TOTAL",IF(B52="","",C51-I51),SUM($L$25:L51))</f>
      </c>
      <c r="M52" s="28">
        <f>IF(B52&lt;&gt;"TOTAL",IF(B52="","",(N51+L52)*$D$19),SUM($M$25:M51))</f>
      </c>
      <c r="N52" s="28">
        <f t="shared" si="3"/>
      </c>
    </row>
    <row r="53" spans="2:14" ht="18.75" customHeight="1">
      <c r="B53" s="7">
        <f t="shared" si="0"/>
      </c>
      <c r="C53" s="28">
        <f>IF(B53&lt;&gt;"TOTAL",IF(B53="","",-$D$8*$I$5),SUM(C$25:C52))</f>
      </c>
      <c r="D53" s="27">
        <f>IF(B53&lt;&gt;"TOTAL",IF(B53="","",C53-F53),SUM(D$25:D52))</f>
      </c>
      <c r="F53" s="28">
        <f>IF(B53&lt;&gt;"TOTAL",IF(B53="","",-PPMT($D$4,B53,$D$5,$D$2-$D$3)),SUM(F$25:F52))</f>
      </c>
      <c r="G53" s="41">
        <f t="shared" si="1"/>
      </c>
      <c r="I53" s="28">
        <f>IF(B53&lt;&gt;"TOTAL",IF(B53="","",I52*(1+$D$11)),SUM($I$25:I52))</f>
      </c>
      <c r="J53" s="28">
        <f t="shared" si="2"/>
      </c>
      <c r="L53" s="28">
        <f>IF(B53&lt;&gt;"TOTAL",IF(B53="","",C52-I52),SUM($L$25:L52))</f>
      </c>
      <c r="M53" s="28">
        <f>IF(B53&lt;&gt;"TOTAL",IF(B53="","",(N52+L53)*$D$19),SUM($M$25:M52))</f>
      </c>
      <c r="N53" s="28">
        <f t="shared" si="3"/>
      </c>
    </row>
    <row r="54" spans="2:14" ht="18.75" customHeight="1">
      <c r="B54" s="7">
        <f t="shared" si="0"/>
      </c>
      <c r="C54" s="28">
        <f>IF(B54&lt;&gt;"TOTAL",IF(B54="","",-$D$8*$I$5),SUM(C$25:C53))</f>
      </c>
      <c r="D54" s="27">
        <f>IF(B54&lt;&gt;"TOTAL",IF(B54="","",C54-F54),SUM(D$25:D53))</f>
      </c>
      <c r="F54" s="28">
        <f>IF(B54&lt;&gt;"TOTAL",IF(B54="","",-PPMT($D$4,B54,$D$5,$D$2-$D$3)),SUM(F$25:F53))</f>
      </c>
      <c r="G54" s="41">
        <f t="shared" si="1"/>
      </c>
      <c r="I54" s="28">
        <f>IF(B54&lt;&gt;"TOTAL",IF(B54="","",I53*(1+$D$11)),SUM($I$25:I53))</f>
      </c>
      <c r="J54" s="28">
        <f t="shared" si="2"/>
      </c>
      <c r="L54" s="28">
        <f>IF(B54&lt;&gt;"TOTAL",IF(B54="","",C53-I53),SUM($L$25:L53))</f>
      </c>
      <c r="M54" s="28">
        <f>IF(B54&lt;&gt;"TOTAL",IF(B54="","",(N53+L54)*$D$19),SUM($M$25:M53))</f>
      </c>
      <c r="N54" s="28">
        <f t="shared" si="3"/>
      </c>
    </row>
    <row r="55" spans="2:14" ht="18.75" customHeight="1">
      <c r="B55" s="7">
        <f t="shared" si="0"/>
      </c>
      <c r="C55" s="28">
        <f>IF(B55&lt;&gt;"TOTAL",IF(B55="","",-$D$8*$I$5),SUM(C$25:C54))</f>
      </c>
      <c r="D55" s="27">
        <f>IF(B55&lt;&gt;"TOTAL",IF(B55="","",C55-F55),SUM(D$25:D54))</f>
      </c>
      <c r="F55" s="28">
        <f>IF(B55&lt;&gt;"TOTAL",IF(B55="","",-PPMT($D$4,B55,$D$5,$D$2-$D$3)),SUM(F$25:F54))</f>
      </c>
      <c r="G55" s="41">
        <f t="shared" si="1"/>
      </c>
      <c r="I55" s="28">
        <f>IF(B55&lt;&gt;"TOTAL",IF(B55="","",I54*(1+$D$11)),SUM($I$25:I54))</f>
      </c>
      <c r="J55" s="28">
        <f t="shared" si="2"/>
      </c>
      <c r="L55" s="28">
        <f>IF(B55&lt;&gt;"TOTAL",IF(B55="","",C54-I54),SUM($L$25:L54))</f>
      </c>
      <c r="M55" s="28">
        <f>IF(B55&lt;&gt;"TOTAL",IF(B55="","",(N54+L55)*$D$19),SUM($M$25:M54))</f>
      </c>
      <c r="N55" s="28">
        <f t="shared" si="3"/>
      </c>
    </row>
    <row r="56" spans="2:14" ht="18.75" customHeight="1">
      <c r="B56" s="7">
        <f t="shared" si="0"/>
      </c>
      <c r="C56" s="28">
        <f>IF(B56&lt;&gt;"TOTAL",IF(B56="","",-$D$8*$I$5),SUM(C$25:C55))</f>
      </c>
      <c r="D56" s="27">
        <f>IF(B56&lt;&gt;"TOTAL",IF(B56="","",C56-F56),SUM(D$25:D55))</f>
      </c>
      <c r="F56" s="28">
        <f>IF(B56&lt;&gt;"TOTAL",IF(B56="","",-PPMT($D$4,B56,$D$5,$D$2-$D$3)),SUM(F$25:F55))</f>
      </c>
      <c r="G56" s="41">
        <f t="shared" si="1"/>
      </c>
      <c r="I56" s="28">
        <f>IF(B56&lt;&gt;"TOTAL",IF(B56="","",I55*(1+$D$11)),SUM($I$25:I55))</f>
      </c>
      <c r="J56" s="28">
        <f t="shared" si="2"/>
      </c>
      <c r="L56" s="28">
        <f>IF(B56&lt;&gt;"TOTAL",IF(B56="","",C55-I55),SUM($L$25:L55))</f>
      </c>
      <c r="M56" s="28">
        <f>IF(B56&lt;&gt;"TOTAL",IF(B56="","",(N55+L56)*$D$19),SUM($M$25:M55))</f>
      </c>
      <c r="N56" s="28">
        <f t="shared" si="3"/>
      </c>
    </row>
    <row r="57" spans="2:14" ht="18.75" customHeight="1">
      <c r="B57" s="7">
        <f t="shared" si="0"/>
      </c>
      <c r="C57" s="28">
        <f>IF(B57&lt;&gt;"TOTAL",IF(B57="","",-$D$8*$I$5),SUM(C$25:C56))</f>
      </c>
      <c r="D57" s="27">
        <f>IF(B57&lt;&gt;"TOTAL",IF(B57="","",C57-F57),SUM(D$25:D56))</f>
      </c>
      <c r="F57" s="28">
        <f>IF(B57&lt;&gt;"TOTAL",IF(B57="","",-PPMT($D$4,B57,$D$5,$D$2-$D$3)),SUM(F$25:F56))</f>
      </c>
      <c r="G57" s="41">
        <f t="shared" si="1"/>
      </c>
      <c r="I57" s="28">
        <f>IF(B57&lt;&gt;"TOTAL",IF(B57="","",I56*(1+$D$11)),SUM($I$25:I56))</f>
      </c>
      <c r="J57" s="28">
        <f t="shared" si="2"/>
      </c>
      <c r="L57" s="28">
        <f>IF(B57&lt;&gt;"TOTAL",IF(B57="","",C56-I56),SUM($L$25:L56))</f>
      </c>
      <c r="M57" s="28">
        <f>IF(B57&lt;&gt;"TOTAL",IF(B57="","",(N56+L57)*$D$19),SUM($M$25:M56))</f>
      </c>
      <c r="N57" s="28">
        <f t="shared" si="3"/>
      </c>
    </row>
    <row r="58" spans="2:14" ht="18.75" customHeight="1">
      <c r="B58" s="7">
        <f t="shared" si="0"/>
      </c>
      <c r="C58" s="28">
        <f>IF(B58&lt;&gt;"TOTAL",IF(B58="","",-$D$8*$I$5),SUM(C$25:C57))</f>
      </c>
      <c r="D58" s="27">
        <f>IF(B58&lt;&gt;"TOTAL",IF(B58="","",C58-F58),SUM(D$25:D57))</f>
      </c>
      <c r="F58" s="28">
        <f>IF(B58&lt;&gt;"TOTAL",IF(B58="","",-PPMT($D$4,B58,$D$5,$D$2-$D$3)),SUM(F$25:F57))</f>
      </c>
      <c r="G58" s="41">
        <f t="shared" si="1"/>
      </c>
      <c r="I58" s="28">
        <f>IF(B58&lt;&gt;"TOTAL",IF(B58="","",I57*(1+$D$11)),SUM($I$25:I57))</f>
      </c>
      <c r="J58" s="28">
        <f t="shared" si="2"/>
      </c>
      <c r="L58" s="28">
        <f>IF(B58&lt;&gt;"TOTAL",IF(B58="","",C57-I57),SUM($L$25:L57))</f>
      </c>
      <c r="M58" s="28">
        <f>IF(B58&lt;&gt;"TOTAL",IF(B58="","",(N57+L58)*$D$19),SUM($M$25:M57))</f>
      </c>
      <c r="N58" s="28">
        <f t="shared" si="3"/>
      </c>
    </row>
    <row r="59" spans="2:14" ht="18.75" customHeight="1">
      <c r="B59" s="7">
        <f t="shared" si="0"/>
      </c>
      <c r="C59" s="28">
        <f>IF(B59&lt;&gt;"TOTAL",IF(B59="","",-$D$8*$I$5),SUM(C$25:C58))</f>
      </c>
      <c r="D59" s="27">
        <f>IF(B59&lt;&gt;"TOTAL",IF(B59="","",C59-F59),SUM(D$25:D58))</f>
      </c>
      <c r="F59" s="28">
        <f>IF(B59&lt;&gt;"TOTAL",IF(B59="","",-PPMT($D$4,B59,$D$5,$D$2-$D$3)),SUM(F$25:F58))</f>
      </c>
      <c r="G59" s="41">
        <f t="shared" si="1"/>
      </c>
      <c r="I59" s="28">
        <f>IF(B59&lt;&gt;"TOTAL",IF(B59="","",I58*(1+$D$11)),SUM($I$25:I58))</f>
      </c>
      <c r="J59" s="28">
        <f t="shared" si="2"/>
      </c>
      <c r="L59" s="28">
        <f>IF(B59&lt;&gt;"TOTAL",IF(B59="","",C58-I58),SUM($L$25:L58))</f>
      </c>
      <c r="M59" s="28">
        <f>IF(B59&lt;&gt;"TOTAL",IF(B59="","",(N58+L59)*$D$19),SUM($M$25:M58))</f>
      </c>
      <c r="N59" s="28">
        <f t="shared" si="3"/>
      </c>
    </row>
    <row r="60" spans="2:14" ht="18.75" customHeight="1">
      <c r="B60" s="7">
        <f t="shared" si="0"/>
      </c>
      <c r="C60" s="28">
        <f>IF(B60&lt;&gt;"TOTAL",IF(B60="","",-$D$8*$I$5),SUM(C$25:C59))</f>
      </c>
      <c r="D60" s="27">
        <f>IF(B60&lt;&gt;"TOTAL",IF(B60="","",C60-F60),SUM(D$25:D59))</f>
      </c>
      <c r="F60" s="28">
        <f>IF(B60&lt;&gt;"TOTAL",IF(B60="","",-PPMT($D$4,B60,$D$5,$D$2-$D$3)),SUM(F$25:F59))</f>
      </c>
      <c r="G60" s="41">
        <f t="shared" si="1"/>
      </c>
      <c r="I60" s="28">
        <f>IF(B60&lt;&gt;"TOTAL",IF(B60="","",I59*(1+$D$11)),SUM($I$25:I59))</f>
      </c>
      <c r="J60" s="28">
        <f t="shared" si="2"/>
      </c>
      <c r="L60" s="28">
        <f>IF(B60&lt;&gt;"TOTAL",IF(B60="","",C59-I59),SUM($L$25:L59))</f>
      </c>
      <c r="M60" s="28">
        <f>IF(B60&lt;&gt;"TOTAL",IF(B60="","",(N59+L60)*$D$19),SUM($M$25:M59))</f>
      </c>
      <c r="N60" s="28">
        <f t="shared" si="3"/>
      </c>
    </row>
    <row r="61" spans="2:14" ht="24.75" customHeight="1">
      <c r="B61" s="7">
        <f t="shared" si="0"/>
      </c>
      <c r="C61" s="28">
        <f>IF(B61&lt;&gt;"TOTAL",IF(B61="","",-$D$8*$I$5),SUM(C$25:C60))</f>
      </c>
      <c r="D61" s="27">
        <f>IF(B61&lt;&gt;"TOTAL",IF(B61="","",C61-F61),SUM(D$25:D60))</f>
      </c>
      <c r="F61" s="28">
        <f>IF(B61&lt;&gt;"TOTAL",IF(B61="","",-PPMT($D$4,B61,$D$5,$D$2-$D$3)),SUM(F$25:F60))</f>
      </c>
      <c r="G61" s="41">
        <f t="shared" si="1"/>
      </c>
      <c r="I61" s="28">
        <f>IF(B61&lt;&gt;"TOTAL",IF(B61="","",I60*(1+$D$11)),SUM($I$25:I60))</f>
      </c>
      <c r="J61" s="28">
        <f t="shared" si="2"/>
      </c>
      <c r="L61" s="28">
        <f>IF(B61&lt;&gt;"TOTAL",IF(B61="","",C60-I60),SUM($L$25:L60))</f>
      </c>
      <c r="M61" s="28">
        <f>IF(B61&lt;&gt;"TOTAL",IF(B61="","",(N60+L61)*$D$19),SUM($M$25:M60))</f>
      </c>
      <c r="N61" s="28">
        <f t="shared" si="3"/>
      </c>
    </row>
    <row r="62" spans="2:14" ht="24.75" customHeight="1">
      <c r="B62" s="7">
        <f t="shared" si="0"/>
      </c>
      <c r="C62" s="28">
        <f>IF(B62&lt;&gt;"TOTAL",IF(B62="","",-$D$8*$I$5),SUM(C$25:C61))</f>
      </c>
      <c r="D62" s="27">
        <f>IF(B62&lt;&gt;"TOTAL",IF(B62="","",C62-F62),SUM(D$25:D61))</f>
      </c>
      <c r="F62" s="28">
        <f>IF(B62&lt;&gt;"TOTAL",IF(B62="","",-PPMT($D$4,B62,$D$5,$D$2-$D$3)),SUM(F$25:F61))</f>
      </c>
      <c r="G62" s="41">
        <f t="shared" si="1"/>
      </c>
      <c r="I62" s="28">
        <f>IF(B62&lt;&gt;"TOTAL",IF(B62="","",I61*(1+$D$11)),SUM($I$25:I61))</f>
      </c>
      <c r="J62" s="28">
        <f t="shared" si="2"/>
      </c>
      <c r="L62" s="28">
        <f>IF(B62&lt;&gt;"TOTAL",IF(B62="","",C61-I61),SUM($L$25:L61))</f>
      </c>
      <c r="M62" s="28">
        <f>IF(B62&lt;&gt;"TOTAL",IF(B62="","",(N61+L62)*$D$19),SUM($M$25:M61))</f>
      </c>
      <c r="N62" s="28">
        <f t="shared" si="3"/>
      </c>
    </row>
    <row r="63" spans="2:14" ht="24.75" customHeight="1">
      <c r="B63" s="7">
        <f t="shared" si="0"/>
      </c>
      <c r="C63" s="28">
        <f>IF(B63&lt;&gt;"TOTAL",IF(B63="","",-$D$8*$I$5),SUM(C$25:C62))</f>
      </c>
      <c r="D63" s="27">
        <f>IF(B63&lt;&gt;"TOTAL",IF(B63="","",C63-F63),SUM(D$25:D62))</f>
      </c>
      <c r="F63" s="28">
        <f>IF(B63&lt;&gt;"TOTAL",IF(B63="","",-PPMT($D$4,B63,$D$5,$D$2-$D$3)),SUM(F$25:F62))</f>
      </c>
      <c r="G63" s="41">
        <f t="shared" si="1"/>
      </c>
      <c r="I63" s="28">
        <f>IF(B63&lt;&gt;"TOTAL",IF(B63="","",I62*(1+$D$11)),SUM($I$25:I62))</f>
      </c>
      <c r="J63" s="28">
        <f t="shared" si="2"/>
      </c>
      <c r="L63" s="28">
        <f>IF(B63&lt;&gt;"TOTAL",IF(B63="","",C62-I62),SUM($L$25:L62))</f>
      </c>
      <c r="M63" s="28">
        <f>IF(B63&lt;&gt;"TOTAL",IF(B63="","",(N62+L63)*$D$19),SUM($M$25:M62))</f>
      </c>
      <c r="N63" s="28">
        <f t="shared" si="3"/>
      </c>
    </row>
    <row r="64" spans="2:14" ht="24.75" customHeight="1">
      <c r="B64" s="7">
        <f t="shared" si="0"/>
      </c>
      <c r="C64" s="28">
        <f>IF(B64&lt;&gt;"TOTAL",IF(B64="","",-$D$8*$I$5),SUM(C$25:C63))</f>
      </c>
      <c r="D64" s="27">
        <f>IF(B64&lt;&gt;"TOTAL",IF(B64="","",C64-F64),SUM(D$25:D63))</f>
      </c>
      <c r="F64" s="28">
        <f>IF(B64&lt;&gt;"TOTAL",IF(B64="","",-PPMT($D$4,B64,$D$5,$D$2-$D$3)),SUM(F$25:F63))</f>
      </c>
      <c r="G64" s="41">
        <f t="shared" si="1"/>
      </c>
      <c r="I64" s="28">
        <f>IF(B64&lt;&gt;"TOTAL",IF(B64="","",I63*(1+$D$11)),SUM($I$25:I63))</f>
      </c>
      <c r="J64" s="28">
        <f t="shared" si="2"/>
      </c>
      <c r="L64" s="28">
        <f>IF(B64&lt;&gt;"TOTAL",IF(B64="","",C63-I63),SUM($L$25:L63))</f>
      </c>
      <c r="M64" s="28">
        <f>IF(B64&lt;&gt;"TOTAL",IF(B64="","",(N63+L64)*$D$19),SUM($M$25:M63))</f>
      </c>
      <c r="N64" s="28">
        <f t="shared" si="3"/>
      </c>
    </row>
    <row r="65" spans="2:14" ht="24.75" customHeight="1">
      <c r="B65" s="7">
        <f t="shared" si="0"/>
      </c>
      <c r="C65" s="28">
        <f>IF(B65&lt;&gt;"TOTAL",IF(B65="","",-$D$8*$I$5),SUM(C$25:C64))</f>
      </c>
      <c r="D65" s="27">
        <f>IF(B65&lt;&gt;"TOTAL",IF(B65="","",C65-F65),SUM(D$25:D64))</f>
      </c>
      <c r="F65" s="28">
        <f>IF(B65&lt;&gt;"TOTAL",IF(B65="","",-PPMT($D$4,B65,$D$5,$D$2-$D$3)),SUM(F$25:F64))</f>
      </c>
      <c r="G65" s="41">
        <f t="shared" si="1"/>
      </c>
      <c r="I65" s="28">
        <f>IF(B65&lt;&gt;"TOTAL",IF(B65="","",I64*(1+$D$11)),SUM($I$25:I64))</f>
      </c>
      <c r="J65" s="28">
        <f t="shared" si="2"/>
      </c>
      <c r="L65" s="28">
        <f>IF(B65&lt;&gt;"TOTAL",IF(B65="","",C64-I64),SUM($L$25:L64))</f>
      </c>
      <c r="M65" s="28">
        <f>IF(B65&lt;&gt;"TOTAL",IF(B65="","",(N64+L65)*$D$19),SUM($M$25:M64))</f>
      </c>
      <c r="N65" s="28">
        <f t="shared" si="3"/>
      </c>
    </row>
    <row r="66" spans="2:14" ht="24.75" customHeight="1">
      <c r="B66" s="7">
        <f t="shared" si="0"/>
      </c>
      <c r="C66" s="28">
        <f>IF(B66&lt;&gt;"TOTAL",IF(B66="","",-$D$8*$I$5),SUM(C$25:C65))</f>
      </c>
      <c r="D66" s="27">
        <f>IF(B66&lt;&gt;"TOTAL",IF(B66="","",C66-F66),SUM(D$25:D65))</f>
      </c>
      <c r="F66" s="28">
        <f>IF(B66&lt;&gt;"TOTAL",IF(B66="","",-PPMT($D$4,B66,$D$5,$D$2-$D$3)),SUM(F$25:F65))</f>
      </c>
      <c r="G66" s="41">
        <f t="shared" si="1"/>
      </c>
      <c r="I66" s="28">
        <f>IF(B66&lt;&gt;"TOTAL",IF(B66="","",I65*(1+$D$11)),SUM($I$25:I65))</f>
      </c>
      <c r="J66" s="28">
        <f t="shared" si="2"/>
      </c>
      <c r="L66" s="28">
        <f>IF(B66&lt;&gt;"TOTAL",IF(B66="","",C65-I65),SUM($L$25:L65))</f>
      </c>
      <c r="M66" s="28">
        <f>IF(B66&lt;&gt;"TOTAL",IF(B66="","",(N65+L66)*$D$19),SUM($M$25:M65))</f>
      </c>
      <c r="N66" s="28">
        <f t="shared" si="3"/>
      </c>
    </row>
    <row r="67" spans="2:14" ht="24.75" customHeight="1">
      <c r="B67" s="7">
        <f t="shared" si="0"/>
      </c>
      <c r="C67" s="28">
        <f>IF(B67&lt;&gt;"TOTAL",IF(B67="","",-$D$8*$I$5),SUM(C$25:C66))</f>
      </c>
      <c r="D67" s="27">
        <f>IF(B67&lt;&gt;"TOTAL",IF(B67="","",C67-F67),SUM(D$25:D66))</f>
      </c>
      <c r="F67" s="28">
        <f>IF(B67&lt;&gt;"TOTAL",IF(B67="","",-PPMT($D$4,B67,$D$5,$D$2-$D$3)),SUM(F$25:F66))</f>
      </c>
      <c r="G67" s="41">
        <f t="shared" si="1"/>
      </c>
      <c r="I67" s="28">
        <f>IF(B67&lt;&gt;"TOTAL",IF(B67="","",I66*(1+$D$11)),SUM($I$25:I66))</f>
      </c>
      <c r="J67" s="28">
        <f t="shared" si="2"/>
      </c>
      <c r="L67" s="28">
        <f>IF(B67&lt;&gt;"TOTAL",IF(B67="","",C66-I66),SUM($L$25:L66))</f>
      </c>
      <c r="M67" s="28">
        <f>IF(B67&lt;&gt;"TOTAL",IF(B67="","",(N66+L67)*$D$19),SUM($M$25:M66))</f>
      </c>
      <c r="N67" s="28">
        <f t="shared" si="3"/>
      </c>
    </row>
    <row r="68" spans="2:14" ht="24.75" customHeight="1">
      <c r="B68" s="7">
        <f t="shared" si="0"/>
      </c>
      <c r="C68" s="28">
        <f>IF(B68&lt;&gt;"TOTAL",IF(B68="","",-$D$8*$I$5),SUM(C$25:C67))</f>
      </c>
      <c r="D68" s="27">
        <f>IF(B68&lt;&gt;"TOTAL",IF(B68="","",C68-F68),SUM(D$25:D67))</f>
      </c>
      <c r="F68" s="28">
        <f>IF(B68&lt;&gt;"TOTAL",IF(B68="","",-PPMT($D$4,B68,$D$5,$D$2-$D$3)),SUM(F$25:F67))</f>
      </c>
      <c r="G68" s="41">
        <f t="shared" si="1"/>
      </c>
      <c r="I68" s="28">
        <f>IF(B68&lt;&gt;"TOTAL",IF(B68="","",I67*(1+$D$11)),SUM($I$25:I67))</f>
      </c>
      <c r="J68" s="28">
        <f t="shared" si="2"/>
      </c>
      <c r="L68" s="28">
        <f>IF(B68&lt;&gt;"TOTAL",IF(B68="","",C67-I67),SUM($L$25:L67))</f>
      </c>
      <c r="M68" s="28">
        <f>IF(B68&lt;&gt;"TOTAL",IF(B68="","",(N67+L68)*$D$19),SUM($M$25:M67))</f>
      </c>
      <c r="N68" s="28">
        <f t="shared" si="3"/>
      </c>
    </row>
    <row r="69" spans="2:14" ht="24.75" customHeight="1">
      <c r="B69" s="7">
        <f t="shared" si="0"/>
      </c>
      <c r="C69" s="28">
        <f>IF(B69&lt;&gt;"TOTAL",IF(B69="","",-$D$8*$I$5),SUM(C$25:C68))</f>
      </c>
      <c r="D69" s="27">
        <f>IF(B69&lt;&gt;"TOTAL",IF(B69="","",C69-F69),SUM(D$25:D68))</f>
      </c>
      <c r="F69" s="28">
        <f>IF(B69&lt;&gt;"TOTAL",IF(B69="","",-PPMT($D$4,B69,$D$5,$D$2-$D$3)),SUM(F$25:F68))</f>
      </c>
      <c r="G69" s="41">
        <f t="shared" si="1"/>
      </c>
      <c r="I69" s="28">
        <f>IF(B69&lt;&gt;"TOTAL",IF(B69="","",I68*(1+$D$11)),SUM($I$25:I68))</f>
      </c>
      <c r="J69" s="28">
        <f t="shared" si="2"/>
      </c>
      <c r="L69" s="28">
        <f>IF(B69&lt;&gt;"TOTAL",IF(B69="","",C68-I68),SUM($L$25:L68))</f>
      </c>
      <c r="M69" s="28">
        <f>IF(B69&lt;&gt;"TOTAL",IF(B69="","",(N68+L69)*$D$19),SUM($M$25:M68))</f>
      </c>
      <c r="N69" s="28">
        <f t="shared" si="3"/>
      </c>
    </row>
    <row r="70" spans="2:14" ht="24.75" customHeight="1">
      <c r="B70" s="7">
        <f t="shared" si="0"/>
      </c>
      <c r="C70" s="28">
        <f>IF(B70&lt;&gt;"TOTAL",IF(B70="","",-$D$8*$I$5),SUM(C$25:C69))</f>
      </c>
      <c r="D70" s="27">
        <f>IF(B70&lt;&gt;"TOTAL",IF(B70="","",C70-F70),SUM(D$25:D69))</f>
      </c>
      <c r="F70" s="28">
        <f>IF(B70&lt;&gt;"TOTAL",IF(B70="","",-PPMT($D$4,B70,$D$5,$D$2-$D$3)),SUM(F$25:F69))</f>
      </c>
      <c r="G70" s="41">
        <f t="shared" si="1"/>
      </c>
      <c r="I70" s="28">
        <f>IF(B70&lt;&gt;"TOTAL",IF(B70="","",I69*(1+$D$11)),SUM($I$25:I69))</f>
      </c>
      <c r="J70" s="28">
        <f t="shared" si="2"/>
      </c>
      <c r="L70" s="28">
        <f>IF(B70&lt;&gt;"TOTAL",IF(B70="","",C69-I69),SUM($L$25:L69))</f>
      </c>
      <c r="M70" s="28">
        <f>IF(B70&lt;&gt;"TOTAL",IF(B70="","",(N69+L70)*$D$19),SUM($M$25:M69))</f>
      </c>
      <c r="N70" s="28">
        <f t="shared" si="3"/>
      </c>
    </row>
    <row r="71" ht="24.75" customHeight="1">
      <c r="B71" s="7">
        <f>IF(B70=($D$5-1),B70+1,IF(B70="TOTAL","",IF(B70="","","TOTAL")))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1"/>
  <sheetViews>
    <sheetView workbookViewId="0" topLeftCell="A1">
      <selection activeCell="F2" sqref="F2"/>
    </sheetView>
  </sheetViews>
  <sheetFormatPr defaultColWidth="11.421875" defaultRowHeight="24.75" customHeight="1"/>
  <cols>
    <col min="1" max="1" width="4.8515625" style="1" customWidth="1"/>
    <col min="2" max="3" width="16.8515625" style="1" customWidth="1"/>
    <col min="4" max="4" width="11.28125" style="1" bestFit="1" customWidth="1"/>
    <col min="5" max="5" width="4.8515625" style="19" customWidth="1"/>
    <col min="6" max="6" width="14.8515625" style="1" customWidth="1"/>
    <col min="7" max="7" width="13.8515625" style="1" customWidth="1"/>
    <col min="8" max="8" width="17.00390625" style="1" customWidth="1"/>
    <col min="9" max="9" width="13.421875" style="1" bestFit="1" customWidth="1"/>
    <col min="10" max="10" width="12.8515625" style="1" customWidth="1"/>
    <col min="11" max="11" width="4.8515625" style="1" customWidth="1"/>
    <col min="12" max="14" width="12.8515625" style="1" customWidth="1"/>
    <col min="15" max="15" width="17.140625" style="1" customWidth="1"/>
    <col min="16" max="16384" width="8.8515625" style="1" customWidth="1"/>
  </cols>
  <sheetData>
    <row r="1" spans="2:9" ht="24.75" customHeight="1">
      <c r="B1" s="2"/>
      <c r="C1" s="2"/>
      <c r="D1" s="2"/>
      <c r="F1" s="2"/>
      <c r="G1" s="2"/>
      <c r="H1" s="2"/>
      <c r="I1" s="2"/>
    </row>
    <row r="2" spans="2:9" ht="24.75" customHeight="1">
      <c r="B2" s="42" t="s">
        <v>5</v>
      </c>
      <c r="C2" s="12"/>
      <c r="D2" s="8">
        <v>500000</v>
      </c>
      <c r="E2" s="20"/>
      <c r="F2" s="42" t="s">
        <v>0</v>
      </c>
      <c r="G2" s="13"/>
      <c r="I2" s="11">
        <v>0.023</v>
      </c>
    </row>
    <row r="3" spans="2:9" ht="24.75" customHeight="1">
      <c r="B3" s="42" t="s">
        <v>2</v>
      </c>
      <c r="C3" s="12"/>
      <c r="D3" s="8">
        <v>100000</v>
      </c>
      <c r="E3" s="20"/>
      <c r="F3" s="2" t="s">
        <v>15</v>
      </c>
      <c r="G3" s="2"/>
      <c r="H3" s="2"/>
      <c r="I3" s="14">
        <f>POWER(1+I2,1/I5)-1</f>
        <v>0.0018967538135683526</v>
      </c>
    </row>
    <row r="4" spans="2:5" ht="24.75" customHeight="1">
      <c r="B4" s="42" t="s">
        <v>1</v>
      </c>
      <c r="C4" s="12"/>
      <c r="D4" s="11">
        <v>0.075</v>
      </c>
      <c r="E4" s="21"/>
    </row>
    <row r="5" spans="2:9" ht="24.75" customHeight="1">
      <c r="B5" s="42" t="s">
        <v>4</v>
      </c>
      <c r="C5" s="12"/>
      <c r="D5" s="10">
        <v>30</v>
      </c>
      <c r="E5" s="22"/>
      <c r="F5" s="13" t="s">
        <v>3</v>
      </c>
      <c r="G5" s="13"/>
      <c r="H5" s="12"/>
      <c r="I5" s="9">
        <v>12</v>
      </c>
    </row>
    <row r="6" spans="2:4" ht="24.75" customHeight="1">
      <c r="B6" s="2"/>
      <c r="C6" s="2"/>
      <c r="D6" s="2"/>
    </row>
    <row r="7" spans="8:9" ht="39.75" customHeight="1">
      <c r="H7" s="7" t="s">
        <v>9</v>
      </c>
      <c r="I7" s="7" t="s">
        <v>10</v>
      </c>
    </row>
    <row r="8" spans="2:9" ht="24.75" customHeight="1">
      <c r="B8" s="2" t="s">
        <v>17</v>
      </c>
      <c r="C8" s="2"/>
      <c r="D8" s="3">
        <f>PMT(D4/I5,D5*I5,D2-D3)</f>
        <v>-2796.8580342111104</v>
      </c>
      <c r="E8" s="24"/>
      <c r="F8" s="2" t="s">
        <v>26</v>
      </c>
      <c r="H8" s="28">
        <f>-D8*I5*D5</f>
        <v>1006868.8923159997</v>
      </c>
      <c r="I8" s="6">
        <f>H8/(1+$I$2)^$D$5</f>
        <v>508983.7439688932</v>
      </c>
    </row>
    <row r="9" spans="6:9" ht="24.75" customHeight="1">
      <c r="F9" s="2" t="s">
        <v>8</v>
      </c>
      <c r="G9" s="2"/>
      <c r="H9" s="5">
        <f>D3+D5*I5*(-D8)</f>
        <v>1106868.8923159996</v>
      </c>
      <c r="I9" s="5">
        <f>D3+FV(-I3,D5*I5,D8)</f>
        <v>830112.8207261662</v>
      </c>
    </row>
    <row r="10" ht="24.75" customHeight="1">
      <c r="E10" s="1"/>
    </row>
    <row r="11" spans="2:9" ht="24.75" customHeight="1">
      <c r="B11" s="43" t="s">
        <v>7</v>
      </c>
      <c r="C11" s="17"/>
      <c r="D11" s="4">
        <v>0.07</v>
      </c>
      <c r="E11" s="25"/>
      <c r="F11" s="1" t="s">
        <v>11</v>
      </c>
      <c r="H11" s="3">
        <f>D2*(1+D11)^D5</f>
        <v>3806127.5213310155</v>
      </c>
      <c r="I11" s="6">
        <f>H11/(1+$I$2)^$D$5</f>
        <v>1924041.0053527677</v>
      </c>
    </row>
    <row r="12" ht="24.75" customHeight="1">
      <c r="E12" s="1"/>
    </row>
    <row r="13" spans="2:9" ht="24.75" customHeight="1">
      <c r="B13" s="42" t="s">
        <v>6</v>
      </c>
      <c r="C13" s="13"/>
      <c r="D13" s="4">
        <v>0.035</v>
      </c>
      <c r="E13" s="23"/>
      <c r="F13" s="2" t="s">
        <v>12</v>
      </c>
      <c r="G13" s="2" t="s">
        <v>18</v>
      </c>
      <c r="H13" s="3">
        <f>MIN(J25:J61)</f>
        <v>1458.3333333333333</v>
      </c>
      <c r="I13" s="6"/>
    </row>
    <row r="14" spans="7:9" ht="24.75" customHeight="1">
      <c r="G14" s="1" t="s">
        <v>19</v>
      </c>
      <c r="H14" s="3"/>
      <c r="I14" s="6">
        <f>MAX(J25:J61)</f>
        <v>10374.958196774593</v>
      </c>
    </row>
    <row r="15" spans="5:8" ht="24.75" customHeight="1">
      <c r="E15" s="1"/>
      <c r="H15" s="26"/>
    </row>
    <row r="16" spans="6:9" ht="24.75" customHeight="1">
      <c r="F16" s="13" t="s">
        <v>13</v>
      </c>
      <c r="I16" s="6">
        <f>I11-I9</f>
        <v>1093928.1846266014</v>
      </c>
    </row>
    <row r="17" spans="5:9" ht="24.75" customHeight="1">
      <c r="E17" s="1"/>
      <c r="F17" s="13" t="s">
        <v>14</v>
      </c>
      <c r="I17" s="14">
        <f>(I16/I9)/D5</f>
        <v>0.043926887900597046</v>
      </c>
    </row>
    <row r="18" ht="24.75" customHeight="1">
      <c r="E18" s="1"/>
    </row>
    <row r="19" spans="2:9" ht="24.75" customHeight="1">
      <c r="B19" s="35" t="s">
        <v>16</v>
      </c>
      <c r="D19" s="4">
        <v>0.09653916364995349</v>
      </c>
      <c r="E19" s="1"/>
      <c r="F19" s="1" t="s">
        <v>31</v>
      </c>
      <c r="H19" s="28">
        <f ca="1">OFFSET(N25,$D$5,0,1,1)</f>
        <v>1401240.979845561</v>
      </c>
      <c r="I19" s="3">
        <f>H19/(1+$I$2)^$D$5</f>
        <v>708343.3459582917</v>
      </c>
    </row>
    <row r="20" spans="5:9" s="15" customFormat="1" ht="24.75" customHeight="1">
      <c r="E20" s="19"/>
      <c r="F20" s="1"/>
      <c r="G20" s="1"/>
      <c r="H20" s="18"/>
      <c r="I20" s="1"/>
    </row>
    <row r="21" spans="2:14" s="16" customFormat="1" ht="24.75" customHeight="1">
      <c r="B21" s="15"/>
      <c r="C21" s="15"/>
      <c r="D21" s="15"/>
      <c r="E21" s="19"/>
      <c r="F21" s="37" t="s">
        <v>33</v>
      </c>
      <c r="G21" s="38"/>
      <c r="H21" s="39"/>
      <c r="I21" s="40">
        <f>I16-I19</f>
        <v>385584.83866830973</v>
      </c>
      <c r="J21" s="15"/>
      <c r="K21" s="15"/>
      <c r="L21" s="15"/>
      <c r="M21" s="15"/>
      <c r="N21" s="15"/>
    </row>
    <row r="22" spans="2:14" ht="24.75" customHeight="1">
      <c r="B22" s="16"/>
      <c r="C22" s="16"/>
      <c r="D22" s="16"/>
      <c r="E22" s="25"/>
      <c r="J22" s="16"/>
      <c r="K22" s="16"/>
      <c r="L22" s="16"/>
      <c r="M22" s="16"/>
      <c r="N22" s="16"/>
    </row>
    <row r="23" spans="2:13" ht="39.75" customHeight="1">
      <c r="B23" s="35" t="s">
        <v>20</v>
      </c>
      <c r="C23" s="35"/>
      <c r="D23" s="35"/>
      <c r="E23" s="36"/>
      <c r="F23" s="35"/>
      <c r="G23" s="35"/>
      <c r="H23" s="35"/>
      <c r="I23" s="35" t="s">
        <v>28</v>
      </c>
      <c r="J23" s="35"/>
      <c r="K23" s="35"/>
      <c r="L23" s="35" t="s">
        <v>29</v>
      </c>
      <c r="M23" s="35"/>
    </row>
    <row r="24" spans="2:14" ht="40.5" customHeight="1">
      <c r="B24" s="7" t="s">
        <v>21</v>
      </c>
      <c r="C24" s="29" t="s">
        <v>25</v>
      </c>
      <c r="D24" s="30" t="s">
        <v>23</v>
      </c>
      <c r="E24" s="31"/>
      <c r="F24" s="29" t="s">
        <v>22</v>
      </c>
      <c r="G24" s="30" t="s">
        <v>24</v>
      </c>
      <c r="H24" s="32" t="s">
        <v>35</v>
      </c>
      <c r="I24" s="33" t="s">
        <v>34</v>
      </c>
      <c r="J24" s="29" t="s">
        <v>27</v>
      </c>
      <c r="K24" s="29"/>
      <c r="L24" s="29" t="s">
        <v>30</v>
      </c>
      <c r="M24" s="30" t="s">
        <v>32</v>
      </c>
      <c r="N24" s="29" t="s">
        <v>31</v>
      </c>
    </row>
    <row r="25" spans="2:14" ht="18.75" customHeight="1">
      <c r="B25" s="7">
        <v>1</v>
      </c>
      <c r="C25" s="28">
        <f>-$D$8*$I$5</f>
        <v>33562.29641053332</v>
      </c>
      <c r="D25" s="27">
        <f>C25-F25</f>
        <v>29693.8021034774</v>
      </c>
      <c r="F25" s="28">
        <f>-PPMT($D$4,B25,$D$5,$D$2-$D$3)</f>
        <v>3868.494307055924</v>
      </c>
      <c r="G25" s="41">
        <f>($D$2-$D$3)-F25</f>
        <v>396131.50569294405</v>
      </c>
      <c r="H25" s="27"/>
      <c r="I25" s="28">
        <f>D2*D13</f>
        <v>17500</v>
      </c>
      <c r="J25" s="28">
        <f>I25/$I$5</f>
        <v>1458.3333333333333</v>
      </c>
      <c r="K25" s="28"/>
      <c r="L25" s="28">
        <f>D3</f>
        <v>100000</v>
      </c>
      <c r="M25" s="28">
        <f>L25*D19</f>
        <v>9653.91636499535</v>
      </c>
      <c r="N25" s="28">
        <f>L25+M25</f>
        <v>109653.91636499536</v>
      </c>
    </row>
    <row r="26" spans="2:14" ht="18.75" customHeight="1">
      <c r="B26" s="7">
        <f>IF(B25&lt;$D$5,B25+1,IF(B25&gt;$D$5,"","TOTAL"))</f>
        <v>2</v>
      </c>
      <c r="C26" s="28">
        <f>IF(B26&lt;&gt;"TOTAL",IF(B26="","",-$D$8*$I$5),SUM(C$25:C25))</f>
        <v>33562.29641053332</v>
      </c>
      <c r="D26" s="27">
        <f>IF(B26&lt;&gt;"TOTAL",IF(B26="","",C26-F26),SUM(D$25:D25))</f>
        <v>29403.665030448206</v>
      </c>
      <c r="E26" s="23"/>
      <c r="F26" s="28">
        <f>IF(B26&lt;&gt;"TOTAL",IF(B26="","",-PPMT($D$4,B26,$D$5,$D$2-$D$3)),SUM(F$25:F25))</f>
        <v>4158.631380085117</v>
      </c>
      <c r="G26" s="41">
        <f>IF(B26&lt;&gt;"TOTAL",IF(B26="","",G25-F26),"")</f>
        <v>391972.8743128589</v>
      </c>
      <c r="H26" s="27"/>
      <c r="I26" s="28">
        <f>IF(B26&lt;&gt;"TOTAL",IF(B26="","",I25*(1+$D$11)),SUM($I$25:I25))</f>
        <v>18725</v>
      </c>
      <c r="J26" s="28">
        <f>IF(B26&lt;&gt;"TOTAL",IF(B26="","",I26/$I$5),"")</f>
        <v>1560.4166666666667</v>
      </c>
      <c r="K26" s="28"/>
      <c r="L26" s="28">
        <f>IF(B26&lt;&gt;"TOTAL",IF(B26="","",C25-I25),SUM($L$25:L25))</f>
        <v>16062.296410533323</v>
      </c>
      <c r="M26" s="28">
        <f>IF(B26&lt;&gt;"TOTAL",IF(B26="","",(N25+L26)*$D$19),SUM($M$25:M25))</f>
        <v>12136.538038589137</v>
      </c>
      <c r="N26" s="28">
        <f>IF(B26&lt;&gt;"TOTAL",IF(B26="","",N25+L26+M26),N25)</f>
        <v>137852.7508141178</v>
      </c>
    </row>
    <row r="27" spans="2:14" ht="18.75" customHeight="1">
      <c r="B27" s="7">
        <f aca="true" t="shared" si="0" ref="B27:B70">IF(B26&lt;$D$5,B26+1,IF(B26&gt;$D$5,"","TOTAL"))</f>
        <v>3</v>
      </c>
      <c r="C27" s="28">
        <f>IF(B27&lt;&gt;"TOTAL",IF(B27="","",-$D$8*$I$5),SUM(C$25:C26))</f>
        <v>33562.29641053332</v>
      </c>
      <c r="D27" s="27">
        <f>IF(B27&lt;&gt;"TOTAL",IF(B27="","",C27-F27),SUM(D$25:D26))</f>
        <v>29091.767676941818</v>
      </c>
      <c r="F27" s="28">
        <f>IF(B27&lt;&gt;"TOTAL",IF(B27="","",-PPMT($D$4,B27,$D$5,$D$2-$D$3)),SUM(F$25:F26))</f>
        <v>4470.528733591505</v>
      </c>
      <c r="G27" s="41">
        <f aca="true" t="shared" si="1" ref="G27:G70">IF(B27&lt;&gt;"TOTAL",IF(B27="","",G26-F27),"")</f>
        <v>387502.3455792674</v>
      </c>
      <c r="H27" s="27"/>
      <c r="I27" s="28">
        <f>IF(B27&lt;&gt;"TOTAL",IF(B27="","",I26*(1+$D$11)),SUM($I$25:I26))</f>
        <v>20035.75</v>
      </c>
      <c r="J27" s="28">
        <f aca="true" t="shared" si="2" ref="J27:J70">IF(B27&lt;&gt;"TOTAL",IF(B27="","",I27/$I$5),"")</f>
        <v>1669.6458333333333</v>
      </c>
      <c r="K27" s="28"/>
      <c r="L27" s="28">
        <f>IF(B27&lt;&gt;"TOTAL",IF(B27="","",C26-I26),SUM($L$25:L26))</f>
        <v>14837.296410533323</v>
      </c>
      <c r="M27" s="28">
        <f>IF(B27&lt;&gt;"TOTAL",IF(B27="","",(N26+L27)*$D$19),SUM($M$25:M26))</f>
        <v>14740.569456739724</v>
      </c>
      <c r="N27" s="28">
        <f aca="true" t="shared" si="3" ref="N27:N70">IF(B27&lt;&gt;"TOTAL",IF(B27="","",N26+L27+M27),N26)</f>
        <v>167430.61668139088</v>
      </c>
    </row>
    <row r="28" spans="2:14" ht="18.75" customHeight="1">
      <c r="B28" s="7">
        <f t="shared" si="0"/>
        <v>4</v>
      </c>
      <c r="C28" s="28">
        <f>IF(B28&lt;&gt;"TOTAL",IF(B28="","",-$D$8*$I$5),SUM(C$25:C27))</f>
        <v>33562.29641053332</v>
      </c>
      <c r="D28" s="27">
        <f>IF(B28&lt;&gt;"TOTAL",IF(B28="","",C28-F28),SUM(D$25:D27))</f>
        <v>28756.47802192246</v>
      </c>
      <c r="F28" s="28">
        <f>IF(B28&lt;&gt;"TOTAL",IF(B28="","",-PPMT($D$4,B28,$D$5,$D$2-$D$3)),SUM(F$25:F27))</f>
        <v>4805.818388610864</v>
      </c>
      <c r="G28" s="41">
        <f t="shared" si="1"/>
        <v>382696.5271906566</v>
      </c>
      <c r="H28" s="27"/>
      <c r="I28" s="28">
        <f>IF(B28&lt;&gt;"TOTAL",IF(B28="","",I27*(1+$D$11)),SUM($I$25:I27))</f>
        <v>21438.252500000002</v>
      </c>
      <c r="J28" s="28">
        <f t="shared" si="2"/>
        <v>1786.5210416666669</v>
      </c>
      <c r="K28" s="28"/>
      <c r="L28" s="28">
        <f>IF(B28&lt;&gt;"TOTAL",IF(B28="","",C27-I27),SUM($L$25:L27))</f>
        <v>13526.546410533323</v>
      </c>
      <c r="M28" s="28">
        <f>IF(B28&lt;&gt;"TOTAL",IF(B28="","",(N27+L28)*$D$19),SUM($M$25:M27))</f>
        <v>17469.453181362594</v>
      </c>
      <c r="N28" s="28">
        <f t="shared" si="3"/>
        <v>198426.6162732868</v>
      </c>
    </row>
    <row r="29" spans="2:14" ht="18.75" customHeight="1">
      <c r="B29" s="7">
        <f t="shared" si="0"/>
        <v>5</v>
      </c>
      <c r="C29" s="28">
        <f>IF(B29&lt;&gt;"TOTAL",IF(B29="","",-$D$8*$I$5),SUM(C$25:C28))</f>
        <v>33562.29641053332</v>
      </c>
      <c r="D29" s="27">
        <f>IF(B29&lt;&gt;"TOTAL",IF(B29="","",C29-F29),SUM(D$25:D28))</f>
        <v>28396.041642776647</v>
      </c>
      <c r="F29" s="28">
        <f>IF(B29&lt;&gt;"TOTAL",IF(B29="","",-PPMT($D$4,B29,$D$5,$D$2-$D$3)),SUM(F$25:F28))</f>
        <v>5166.254767756676</v>
      </c>
      <c r="G29" s="41">
        <f t="shared" si="1"/>
        <v>377530.2724228999</v>
      </c>
      <c r="H29" s="27"/>
      <c r="I29" s="28">
        <f>IF(B29&lt;&gt;"TOTAL",IF(B29="","",I28*(1+$D$11)),SUM($I$25:I28))</f>
        <v>22938.930175000005</v>
      </c>
      <c r="J29" s="28">
        <f t="shared" si="2"/>
        <v>1911.5775145833338</v>
      </c>
      <c r="K29" s="28"/>
      <c r="L29" s="28">
        <f>IF(B29&lt;&gt;"TOTAL",IF(B29="","",C28-I28),SUM($L$25:L28))</f>
        <v>12124.04391053332</v>
      </c>
      <c r="M29" s="28">
        <f>IF(B29&lt;&gt;"TOTAL",IF(B29="","",(N28+L29)*$D$19),SUM($M$25:M28))</f>
        <v>20326.384640091557</v>
      </c>
      <c r="N29" s="28">
        <f t="shared" si="3"/>
        <v>230877.04482391168</v>
      </c>
    </row>
    <row r="30" spans="2:14" ht="18.75" customHeight="1">
      <c r="B30" s="7">
        <f t="shared" si="0"/>
        <v>6</v>
      </c>
      <c r="C30" s="28">
        <f>IF(B30&lt;&gt;"TOTAL",IF(B30="","",-$D$8*$I$5),SUM(C$25:C29))</f>
        <v>33562.29641053332</v>
      </c>
      <c r="D30" s="27">
        <f>IF(B30&lt;&gt;"TOTAL",IF(B30="","",C30-F30),SUM(D$25:D29))</f>
        <v>28008.572535194897</v>
      </c>
      <c r="F30" s="28">
        <f>IF(B30&lt;&gt;"TOTAL",IF(B30="","",-PPMT($D$4,B30,$D$5,$D$2-$D$3)),SUM(F$25:F29))</f>
        <v>5553.723875338426</v>
      </c>
      <c r="G30" s="41">
        <f t="shared" si="1"/>
        <v>371976.54854756146</v>
      </c>
      <c r="H30" s="27"/>
      <c r="I30" s="28">
        <f>IF(B30&lt;&gt;"TOTAL",IF(B30="","",I29*(1+$D$11)),SUM($I$25:I29))</f>
        <v>24544.655287250007</v>
      </c>
      <c r="J30" s="28">
        <f t="shared" si="2"/>
        <v>2045.3879406041672</v>
      </c>
      <c r="K30" s="28"/>
      <c r="L30" s="28">
        <f>IF(B30&lt;&gt;"TOTAL",IF(B30="","",C29-I29),SUM($L$25:L29))</f>
        <v>10623.366235533318</v>
      </c>
      <c r="M30" s="28">
        <f>IF(B30&lt;&gt;"TOTAL",IF(B30="","",(N29+L30)*$D$19),SUM($M$25:M29))</f>
        <v>23314.2477047988</v>
      </c>
      <c r="N30" s="28">
        <f t="shared" si="3"/>
        <v>264814.6587642438</v>
      </c>
    </row>
    <row r="31" spans="2:14" ht="18.75" customHeight="1">
      <c r="B31" s="7">
        <f t="shared" si="0"/>
        <v>7</v>
      </c>
      <c r="C31" s="28">
        <f>IF(B31&lt;&gt;"TOTAL",IF(B31="","",-$D$8*$I$5),SUM(C$25:C30))</f>
        <v>33562.29641053332</v>
      </c>
      <c r="D31" s="27">
        <f>IF(B31&lt;&gt;"TOTAL",IF(B31="","",C31-F31),SUM(D$25:D30))</f>
        <v>27592.04324454451</v>
      </c>
      <c r="F31" s="28">
        <f>IF(B31&lt;&gt;"TOTAL",IF(B31="","",-PPMT($D$4,B31,$D$5,$D$2-$D$3)),SUM(F$25:F30))</f>
        <v>5970.253165988812</v>
      </c>
      <c r="G31" s="41">
        <f t="shared" si="1"/>
        <v>366006.2953815726</v>
      </c>
      <c r="H31" s="27"/>
      <c r="I31" s="28">
        <f>IF(B31&lt;&gt;"TOTAL",IF(B31="","",I30*(1+$D$11)),SUM($I$25:I30))</f>
        <v>26262.78115735751</v>
      </c>
      <c r="J31" s="28">
        <f t="shared" si="2"/>
        <v>2188.565096446459</v>
      </c>
      <c r="K31" s="28"/>
      <c r="L31" s="28">
        <f>IF(B31&lt;&gt;"TOTAL",IF(B31="","",C30-I30),SUM($L$25:L30))</f>
        <v>9017.641123283316</v>
      </c>
      <c r="M31" s="28">
        <f>IF(B31&lt;&gt;"TOTAL",IF(B31="","",(N30+L31)*$D$19),SUM($M$25:M30))</f>
        <v>26435.541211485124</v>
      </c>
      <c r="N31" s="28">
        <f t="shared" si="3"/>
        <v>300267.84109901224</v>
      </c>
    </row>
    <row r="32" spans="2:14" ht="18.75" customHeight="1">
      <c r="B32" s="7">
        <f t="shared" si="0"/>
        <v>8</v>
      </c>
      <c r="C32" s="28">
        <f>IF(B32&lt;&gt;"TOTAL",IF(B32="","",-$D$8*$I$5),SUM(C$25:C31))</f>
        <v>33562.29641053332</v>
      </c>
      <c r="D32" s="27">
        <f>IF(B32&lt;&gt;"TOTAL",IF(B32="","",C32-F32),SUM(D$25:D31))</f>
        <v>27144.27425709535</v>
      </c>
      <c r="F32" s="28">
        <f>IF(B32&lt;&gt;"TOTAL",IF(B32="","",-PPMT($D$4,B32,$D$5,$D$2-$D$3)),SUM(F$25:F31))</f>
        <v>6418.022153437974</v>
      </c>
      <c r="G32" s="41">
        <f t="shared" si="1"/>
        <v>359588.27322813467</v>
      </c>
      <c r="H32" s="27"/>
      <c r="I32" s="28">
        <f>IF(B32&lt;&gt;"TOTAL",IF(B32="","",I31*(1+$D$11)),SUM($I$25:I31))</f>
        <v>28101.175838372536</v>
      </c>
      <c r="J32" s="28">
        <f t="shared" si="2"/>
        <v>2341.764653197711</v>
      </c>
      <c r="K32" s="28"/>
      <c r="L32" s="28">
        <f>IF(B32&lt;&gt;"TOTAL",IF(B32="","",C31-I31),SUM($L$25:L31))</f>
        <v>7299.515253175814</v>
      </c>
      <c r="M32" s="28">
        <f>IF(B32&lt;&gt;"TOTAL",IF(B32="","",(N31+L32)*$D$19),SUM($M$25:M31))</f>
        <v>29692.295348267442</v>
      </c>
      <c r="N32" s="28">
        <f t="shared" si="3"/>
        <v>337259.65170045546</v>
      </c>
    </row>
    <row r="33" spans="2:14" ht="18.75" customHeight="1">
      <c r="B33" s="7">
        <f t="shared" si="0"/>
        <v>9</v>
      </c>
      <c r="C33" s="28">
        <f>IF(B33&lt;&gt;"TOTAL",IF(B33="","",-$D$8*$I$5),SUM(C$25:C32))</f>
        <v>33562.29641053332</v>
      </c>
      <c r="D33" s="27">
        <f>IF(B33&lt;&gt;"TOTAL",IF(B33="","",C33-F33),SUM(D$25:D32))</f>
        <v>26662.922595587504</v>
      </c>
      <c r="F33" s="28">
        <f>IF(B33&lt;&gt;"TOTAL",IF(B33="","",-PPMT($D$4,B33,$D$5,$D$2-$D$3)),SUM(F$25:F32))</f>
        <v>6899.373814945819</v>
      </c>
      <c r="G33" s="41">
        <f t="shared" si="1"/>
        <v>352688.89941318886</v>
      </c>
      <c r="H33" s="27"/>
      <c r="I33" s="28">
        <f>IF(B33&lt;&gt;"TOTAL",IF(B33="","",I32*(1+$D$11)),SUM($I$25:I32))</f>
        <v>30068.258147058616</v>
      </c>
      <c r="J33" s="28">
        <f t="shared" si="2"/>
        <v>2505.6881789215513</v>
      </c>
      <c r="K33" s="28"/>
      <c r="L33" s="28">
        <f>IF(B33&lt;&gt;"TOTAL",IF(B33="","",C32-I32),SUM($L$25:L32))</f>
        <v>5461.120572160788</v>
      </c>
      <c r="M33" s="28">
        <f>IF(B33&lt;&gt;"TOTAL",IF(B33="","",(N32+L33)*$D$19),SUM($M$25:M32))</f>
        <v>33085.97672066455</v>
      </c>
      <c r="N33" s="28">
        <f t="shared" si="3"/>
        <v>375806.7489932808</v>
      </c>
    </row>
    <row r="34" spans="2:14" ht="18.75" customHeight="1">
      <c r="B34" s="7">
        <f t="shared" si="0"/>
        <v>10</v>
      </c>
      <c r="C34" s="28">
        <f>IF(B34&lt;&gt;"TOTAL",IF(B34="","",-$D$8*$I$5),SUM(C$25:C33))</f>
        <v>33562.29641053332</v>
      </c>
      <c r="D34" s="27">
        <f>IF(B34&lt;&gt;"TOTAL",IF(B34="","",C34-F34),SUM(D$25:D33))</f>
        <v>26145.469559466565</v>
      </c>
      <c r="F34" s="28">
        <f>IF(B34&lt;&gt;"TOTAL",IF(B34="","",-PPMT($D$4,B34,$D$5,$D$2-$D$3)),SUM(F$25:F33))</f>
        <v>7416.8268510667585</v>
      </c>
      <c r="G34" s="41">
        <f t="shared" si="1"/>
        <v>345272.0725621221</v>
      </c>
      <c r="H34" s="27"/>
      <c r="I34" s="28">
        <f>IF(B34&lt;&gt;"TOTAL",IF(B34="","",I33*(1+$D$11)),SUM($I$25:I33))</f>
        <v>32173.03621735272</v>
      </c>
      <c r="J34" s="28">
        <f t="shared" si="2"/>
        <v>2681.0863514460602</v>
      </c>
      <c r="K34" s="28"/>
      <c r="L34" s="28">
        <f>IF(B34&lt;&gt;"TOTAL",IF(B34="","",C33-I33),SUM($L$25:L33))</f>
        <v>3494.0382634747075</v>
      </c>
      <c r="M34" s="28">
        <f>IF(B34&lt;&gt;"TOTAL",IF(B34="","",(N33+L34)*$D$19),SUM($M$25:M33))</f>
        <v>36617.38077353611</v>
      </c>
      <c r="N34" s="28">
        <f t="shared" si="3"/>
        <v>415918.1680302916</v>
      </c>
    </row>
    <row r="35" spans="2:14" ht="18.75" customHeight="1">
      <c r="B35" s="7">
        <f t="shared" si="0"/>
        <v>11</v>
      </c>
      <c r="C35" s="28">
        <f>IF(B35&lt;&gt;"TOTAL",IF(B35="","",-$D$8*$I$5),SUM(C$25:C34))</f>
        <v>33562.29641053332</v>
      </c>
      <c r="D35" s="27">
        <f>IF(B35&lt;&gt;"TOTAL",IF(B35="","",C35-F35),SUM(D$25:D34))</f>
        <v>25589.20754563656</v>
      </c>
      <c r="F35" s="28">
        <f>IF(B35&lt;&gt;"TOTAL",IF(B35="","",-PPMT($D$4,B35,$D$5,$D$2-$D$3)),SUM(F$25:F34))</f>
        <v>7973.088864896763</v>
      </c>
      <c r="G35" s="41">
        <f t="shared" si="1"/>
        <v>337298.98369722534</v>
      </c>
      <c r="H35" s="27"/>
      <c r="I35" s="28">
        <f>IF(B35&lt;&gt;"TOTAL",IF(B35="","",I34*(1+$D$11)),SUM($I$25:I34))</f>
        <v>34425.14875256742</v>
      </c>
      <c r="J35" s="28">
        <f t="shared" si="2"/>
        <v>2868.7623960472847</v>
      </c>
      <c r="K35" s="28"/>
      <c r="L35" s="28">
        <f>IF(B35&lt;&gt;"TOTAL",IF(B35="","",C34-I34),SUM($L$25:L34))</f>
        <v>1389.260193180602</v>
      </c>
      <c r="M35" s="28">
        <f>IF(B35&lt;&gt;"TOTAL",IF(B35="","",(N34+L35)*$D$19),SUM($M$25:M34))</f>
        <v>40286.510105607005</v>
      </c>
      <c r="N35" s="28">
        <f t="shared" si="3"/>
        <v>457593.9383290792</v>
      </c>
    </row>
    <row r="36" spans="2:14" ht="18.75" customHeight="1">
      <c r="B36" s="7">
        <f t="shared" si="0"/>
        <v>12</v>
      </c>
      <c r="C36" s="28">
        <f>IF(B36&lt;&gt;"TOTAL",IF(B36="","",-$D$8*$I$5),SUM(C$25:C35))</f>
        <v>33562.29641053332</v>
      </c>
      <c r="D36" s="27">
        <f>IF(B36&lt;&gt;"TOTAL",IF(B36="","",C36-F36),SUM(D$25:D35))</f>
        <v>24991.22588076929</v>
      </c>
      <c r="F36" s="28">
        <f>IF(B36&lt;&gt;"TOTAL",IF(B36="","",-PPMT($D$4,B36,$D$5,$D$2-$D$3)),SUM(F$25:F35))</f>
        <v>8571.070529764034</v>
      </c>
      <c r="G36" s="41">
        <f t="shared" si="1"/>
        <v>328727.9131674613</v>
      </c>
      <c r="H36" s="27"/>
      <c r="I36" s="28">
        <f>IF(B36&lt;&gt;"TOTAL",IF(B36="","",I35*(1+$D$11)),SUM($I$25:I35))</f>
        <v>36834.90916524714</v>
      </c>
      <c r="J36" s="28">
        <f t="shared" si="2"/>
        <v>3069.575763770595</v>
      </c>
      <c r="K36" s="28"/>
      <c r="L36" s="28">
        <f>IF(B36&lt;&gt;"TOTAL",IF(B36="","",C35-I35),SUM($L$25:L35))</f>
        <v>-862.8523420340935</v>
      </c>
      <c r="M36" s="28">
        <f>IF(B36&lt;&gt;"TOTAL",IF(B36="","",(N35+L36)*$D$19),SUM($M$25:M35))</f>
        <v>44092.437054124326</v>
      </c>
      <c r="N36" s="28">
        <f t="shared" si="3"/>
        <v>500823.5230411694</v>
      </c>
    </row>
    <row r="37" spans="2:14" ht="18.75" customHeight="1">
      <c r="B37" s="7">
        <f t="shared" si="0"/>
        <v>13</v>
      </c>
      <c r="C37" s="28">
        <f>IF(B37&lt;&gt;"TOTAL",IF(B37="","",-$D$8*$I$5),SUM(C$25:C36))</f>
        <v>33562.29641053332</v>
      </c>
      <c r="D37" s="27">
        <f>IF(B37&lt;&gt;"TOTAL",IF(B37="","",C37-F37),SUM(D$25:D36))</f>
        <v>24348.395591036995</v>
      </c>
      <c r="F37" s="28">
        <f>IF(B37&lt;&gt;"TOTAL",IF(B37="","",-PPMT($D$4,B37,$D$5,$D$2-$D$3)),SUM(F$25:F36))</f>
        <v>9213.900819496328</v>
      </c>
      <c r="G37" s="41">
        <f t="shared" si="1"/>
        <v>319514.012347965</v>
      </c>
      <c r="H37" s="27"/>
      <c r="I37" s="28">
        <f>IF(B37&lt;&gt;"TOTAL",IF(B37="","",I36*(1+$D$11)),SUM($I$25:I36))</f>
        <v>39413.352806814444</v>
      </c>
      <c r="J37" s="28">
        <f t="shared" si="2"/>
        <v>3284.446067234537</v>
      </c>
      <c r="K37" s="28"/>
      <c r="L37" s="28">
        <f>IF(B37&lt;&gt;"TOTAL",IF(B37="","",C36-I36),SUM($L$25:L36))</f>
        <v>-3272.6127547138167</v>
      </c>
      <c r="M37" s="28">
        <f>IF(B37&lt;&gt;"TOTAL",IF(B37="","",(N36+L37)*$D$19),SUM($M$25:M36))</f>
        <v>48033.14875232746</v>
      </c>
      <c r="N37" s="28">
        <f t="shared" si="3"/>
        <v>545584.0590387831</v>
      </c>
    </row>
    <row r="38" spans="2:15" ht="18.75" customHeight="1">
      <c r="B38" s="7">
        <f t="shared" si="0"/>
        <v>14</v>
      </c>
      <c r="C38" s="28">
        <f>IF(B38&lt;&gt;"TOTAL",IF(B38="","",-$D$8*$I$5),SUM(C$25:C37))</f>
        <v>33562.29641053332</v>
      </c>
      <c r="D38" s="27">
        <f>IF(B38&lt;&gt;"TOTAL",IF(B38="","",C38-F38),SUM(D$25:D37))</f>
        <v>23657.353029574777</v>
      </c>
      <c r="F38" s="28">
        <f>IF(B38&lt;&gt;"TOTAL",IF(B38="","",-PPMT($D$4,B38,$D$5,$D$2-$D$3)),SUM(F$25:F37))</f>
        <v>9904.943380958546</v>
      </c>
      <c r="G38" s="41">
        <f t="shared" si="1"/>
        <v>309609.0689670064</v>
      </c>
      <c r="H38" s="27"/>
      <c r="I38" s="28">
        <f>IF(B38&lt;&gt;"TOTAL",IF(B38="","",I37*(1+$D$11)),SUM($I$25:I37))</f>
        <v>42172.28750329146</v>
      </c>
      <c r="J38" s="28">
        <f t="shared" si="2"/>
        <v>3514.357291940955</v>
      </c>
      <c r="K38" s="28"/>
      <c r="L38" s="28">
        <f>IF(B38&lt;&gt;"TOTAL",IF(B38="","",C37-I37),SUM($L$25:L37))</f>
        <v>-5851.056396281121</v>
      </c>
      <c r="M38" s="28">
        <f>IF(B38&lt;&gt;"TOTAL",IF(B38="","",(N37+L38)*$D$19),SUM($M$25:M37))</f>
        <v>52105.37266938527</v>
      </c>
      <c r="N38" s="28">
        <f t="shared" si="3"/>
        <v>591838.3753118872</v>
      </c>
      <c r="O38" s="34"/>
    </row>
    <row r="39" spans="2:15" ht="18.75" customHeight="1">
      <c r="B39" s="7">
        <f t="shared" si="0"/>
        <v>15</v>
      </c>
      <c r="C39" s="28">
        <f>IF(B39&lt;&gt;"TOTAL",IF(B39="","",-$D$8*$I$5),SUM(C$25:C38))</f>
        <v>33562.29641053332</v>
      </c>
      <c r="D39" s="27">
        <f>IF(B39&lt;&gt;"TOTAL",IF(B39="","",C39-F39),SUM(D$25:D38))</f>
        <v>22914.482276002887</v>
      </c>
      <c r="F39" s="28">
        <f>IF(B39&lt;&gt;"TOTAL",IF(B39="","",-PPMT($D$4,B39,$D$5,$D$2-$D$3)),SUM(F$25:F38))</f>
        <v>10647.814134530436</v>
      </c>
      <c r="G39" s="41">
        <f t="shared" si="1"/>
        <v>298961.25483247597</v>
      </c>
      <c r="H39" s="27"/>
      <c r="I39" s="28">
        <f>IF(B39&lt;&gt;"TOTAL",IF(B39="","",I38*(1+$D$11)),SUM($I$25:I38))</f>
        <v>45124.347628521864</v>
      </c>
      <c r="J39" s="28">
        <f t="shared" si="2"/>
        <v>3760.362302376822</v>
      </c>
      <c r="K39" s="28"/>
      <c r="L39" s="28">
        <f>IF(B39&lt;&gt;"TOTAL",IF(B39="","",C38-I38),SUM($L$25:L38))</f>
        <v>-8609.991092758137</v>
      </c>
      <c r="M39" s="28">
        <f>IF(B39&lt;&gt;"TOTAL",IF(B39="","",(N38+L39)*$D$19),SUM($M$25:M38))</f>
        <v>56304.38042942846</v>
      </c>
      <c r="N39" s="28">
        <f t="shared" si="3"/>
        <v>639532.7646485575</v>
      </c>
      <c r="O39" s="34"/>
    </row>
    <row r="40" spans="2:15" ht="18.75" customHeight="1">
      <c r="B40" s="7">
        <f t="shared" si="0"/>
        <v>16</v>
      </c>
      <c r="C40" s="28">
        <f>IF(B40&lt;&gt;"TOTAL",IF(B40="","",-$D$8*$I$5),SUM(C$25:C39))</f>
        <v>33562.29641053332</v>
      </c>
      <c r="D40" s="27">
        <f>IF(B40&lt;&gt;"TOTAL",IF(B40="","",C40-F40),SUM(D$25:D39))</f>
        <v>22115.8962159131</v>
      </c>
      <c r="F40" s="28">
        <f>IF(B40&lt;&gt;"TOTAL",IF(B40="","",-PPMT($D$4,B40,$D$5,$D$2-$D$3)),SUM(F$25:F39))</f>
        <v>11446.400194620222</v>
      </c>
      <c r="G40" s="41">
        <f t="shared" si="1"/>
        <v>287514.8546378557</v>
      </c>
      <c r="H40" s="27"/>
      <c r="I40" s="28">
        <f>IF(B40&lt;&gt;"TOTAL",IF(B40="","",I39*(1+$D$11)),SUM($I$25:I39))</f>
        <v>48283.051962518395</v>
      </c>
      <c r="J40" s="28">
        <f t="shared" si="2"/>
        <v>4023.5876635431996</v>
      </c>
      <c r="K40" s="28"/>
      <c r="L40" s="28">
        <f>IF(B40&lt;&gt;"TOTAL",IF(B40="","",C39-I39),SUM($L$25:L39))</f>
        <v>-11562.05121798854</v>
      </c>
      <c r="M40" s="28">
        <f>IF(B40&lt;&gt;"TOTAL",IF(B40="","",(N39+L40)*$D$19),SUM($M$25:M39))</f>
        <v>60623.767471251755</v>
      </c>
      <c r="N40" s="28">
        <f t="shared" si="3"/>
        <v>688594.4809018208</v>
      </c>
      <c r="O40" s="34"/>
    </row>
    <row r="41" spans="2:15" ht="18.75" customHeight="1">
      <c r="B41" s="7">
        <f t="shared" si="0"/>
        <v>17</v>
      </c>
      <c r="C41" s="28">
        <f>IF(B41&lt;&gt;"TOTAL",IF(B41="","",-$D$8*$I$5),SUM(C$25:C40))</f>
        <v>33562.29641053332</v>
      </c>
      <c r="D41" s="27">
        <f>IF(B41&lt;&gt;"TOTAL",IF(B41="","",C41-F41),SUM(D$25:D40))</f>
        <v>21257.41620131659</v>
      </c>
      <c r="F41" s="28">
        <f>IF(B41&lt;&gt;"TOTAL",IF(B41="","",-PPMT($D$4,B41,$D$5,$D$2-$D$3)),SUM(F$25:F40))</f>
        <v>12304.880209216732</v>
      </c>
      <c r="G41" s="41">
        <f t="shared" si="1"/>
        <v>275209.974428639</v>
      </c>
      <c r="H41" s="27"/>
      <c r="I41" s="28">
        <f>IF(B41&lt;&gt;"TOTAL",IF(B41="","",I40*(1+$D$11)),SUM($I$25:I40))</f>
        <v>51662.865599894685</v>
      </c>
      <c r="J41" s="28">
        <f t="shared" si="2"/>
        <v>4305.2387999912235</v>
      </c>
      <c r="K41" s="28"/>
      <c r="L41" s="28">
        <f>IF(B41&lt;&gt;"TOTAL",IF(B41="","",C40-I40),SUM($L$25:L40))</f>
        <v>-14720.755551985072</v>
      </c>
      <c r="M41" s="28">
        <f>IF(B41&lt;&gt;"TOTAL",IF(B41="","",(N40+L41)*$D$19),SUM($M$25:M40))</f>
        <v>65055.2058509516</v>
      </c>
      <c r="N41" s="28">
        <f t="shared" si="3"/>
        <v>738928.9312007873</v>
      </c>
      <c r="O41" s="34"/>
    </row>
    <row r="42" spans="2:15" ht="18.75" customHeight="1">
      <c r="B42" s="7">
        <f t="shared" si="0"/>
        <v>18</v>
      </c>
      <c r="C42" s="28">
        <f>IF(B42&lt;&gt;"TOTAL",IF(B42="","",-$D$8*$I$5),SUM(C$25:C41))</f>
        <v>33562.29641053332</v>
      </c>
      <c r="D42" s="27">
        <f>IF(B42&lt;&gt;"TOTAL",IF(B42="","",C42-F42),SUM(D$25:D41))</f>
        <v>20334.55018562533</v>
      </c>
      <c r="F42" s="28">
        <f>IF(B42&lt;&gt;"TOTAL",IF(B42="","",-PPMT($D$4,B42,$D$5,$D$2-$D$3)),SUM(F$25:F41))</f>
        <v>13227.746224907994</v>
      </c>
      <c r="G42" s="41">
        <f t="shared" si="1"/>
        <v>261982.228203731</v>
      </c>
      <c r="H42" s="27"/>
      <c r="I42" s="28">
        <f>IF(B42&lt;&gt;"TOTAL",IF(B42="","",I41*(1+$D$11)),SUM($I$25:I41))</f>
        <v>55279.26619188731</v>
      </c>
      <c r="J42" s="28">
        <f t="shared" si="2"/>
        <v>4606.605515990609</v>
      </c>
      <c r="K42" s="28"/>
      <c r="L42" s="28">
        <f>IF(B42&lt;&gt;"TOTAL",IF(B42="","",C41-I41),SUM($L$25:L41))</f>
        <v>-18100.569189361362</v>
      </c>
      <c r="M42" s="28">
        <f>IF(B42&lt;&gt;"TOTAL",IF(B42="","",(N41+L42)*$D$19),SUM($M$25:M41))</f>
        <v>69588.16720374896</v>
      </c>
      <c r="N42" s="28">
        <f t="shared" si="3"/>
        <v>790416.5292151748</v>
      </c>
      <c r="O42" s="34"/>
    </row>
    <row r="43" spans="2:15" ht="18.75" customHeight="1">
      <c r="B43" s="7">
        <f t="shared" si="0"/>
        <v>19</v>
      </c>
      <c r="C43" s="28">
        <f>IF(B43&lt;&gt;"TOTAL",IF(B43="","",-$D$8*$I$5),SUM(C$25:C42))</f>
        <v>33562.29641053332</v>
      </c>
      <c r="D43" s="27">
        <f>IF(B43&lt;&gt;"TOTAL",IF(B43="","",C43-F43),SUM(D$25:D42))</f>
        <v>19342.469218757215</v>
      </c>
      <c r="F43" s="28">
        <f>IF(B43&lt;&gt;"TOTAL",IF(B43="","",-PPMT($D$4,B43,$D$5,$D$2-$D$3)),SUM(F$25:F42))</f>
        <v>14219.827191776109</v>
      </c>
      <c r="G43" s="41">
        <f t="shared" si="1"/>
        <v>247762.4010119549</v>
      </c>
      <c r="H43" s="27"/>
      <c r="I43" s="28">
        <f>IF(B43&lt;&gt;"TOTAL",IF(B43="","",I42*(1+$D$11)),SUM($I$25:I42))</f>
        <v>59148.81482531943</v>
      </c>
      <c r="J43" s="28">
        <f t="shared" si="2"/>
        <v>4929.067902109952</v>
      </c>
      <c r="K43" s="28"/>
      <c r="L43" s="28">
        <f>IF(B43&lt;&gt;"TOTAL",IF(B43="","",C42-I42),SUM($L$25:L42))</f>
        <v>-21716.96978135399</v>
      </c>
      <c r="M43" s="28">
        <f>IF(B43&lt;&gt;"TOTAL",IF(B43="","",(N42+L43)*$D$19),SUM($M$25:M42))</f>
        <v>74209.61256582878</v>
      </c>
      <c r="N43" s="28">
        <f t="shared" si="3"/>
        <v>842909.1719996496</v>
      </c>
      <c r="O43" s="34"/>
    </row>
    <row r="44" spans="2:15" ht="18.75" customHeight="1">
      <c r="B44" s="7">
        <f t="shared" si="0"/>
        <v>20</v>
      </c>
      <c r="C44" s="28">
        <f>IF(B44&lt;&gt;"TOTAL",IF(B44="","",-$D$8*$I$5),SUM(C$25:C43))</f>
        <v>33562.29641053332</v>
      </c>
      <c r="D44" s="27">
        <f>IF(B44&lt;&gt;"TOTAL",IF(B44="","",C44-F44),SUM(D$25:D43))</f>
        <v>18275.982179374023</v>
      </c>
      <c r="F44" s="28">
        <f>IF(B44&lt;&gt;"TOTAL",IF(B44="","",-PPMT($D$4,B44,$D$5,$D$2-$D$3)),SUM(F$25:F43))</f>
        <v>15286.3142311593</v>
      </c>
      <c r="G44" s="41">
        <f t="shared" si="1"/>
        <v>232476.0867807956</v>
      </c>
      <c r="H44" s="27"/>
      <c r="I44" s="28">
        <f>IF(B44&lt;&gt;"TOTAL",IF(B44="","",I43*(1+$D$11)),SUM($I$25:I43))</f>
        <v>63289.231863091794</v>
      </c>
      <c r="J44" s="28">
        <f t="shared" si="2"/>
        <v>5274.1026552576495</v>
      </c>
      <c r="K44" s="28"/>
      <c r="L44" s="28">
        <f>IF(B44&lt;&gt;"TOTAL",IF(B44="","",C43-I43),SUM($L$25:L43))</f>
        <v>-25586.518414786107</v>
      </c>
      <c r="M44" s="28">
        <f>IF(B44&lt;&gt;"TOTAL",IF(B44="","",(N43+L44)*$D$19),SUM($M$25:M43))</f>
        <v>78903.64540924339</v>
      </c>
      <c r="N44" s="28">
        <f t="shared" si="3"/>
        <v>896226.2989941069</v>
      </c>
      <c r="O44" s="34"/>
    </row>
    <row r="45" spans="2:15" ht="18.75" customHeight="1">
      <c r="B45" s="7">
        <f t="shared" si="0"/>
        <v>21</v>
      </c>
      <c r="C45" s="28">
        <f>IF(B45&lt;&gt;"TOTAL",IF(B45="","",-$D$8*$I$5),SUM(C$25:C44))</f>
        <v>33562.29641053332</v>
      </c>
      <c r="D45" s="27">
        <f>IF(B45&lt;&gt;"TOTAL",IF(B45="","",C45-F45),SUM(D$25:D44))</f>
        <v>17129.50861203707</v>
      </c>
      <c r="F45" s="28">
        <f>IF(B45&lt;&gt;"TOTAL",IF(B45="","",-PPMT($D$4,B45,$D$5,$D$2-$D$3)),SUM(F$25:F44))</f>
        <v>16432.787798496254</v>
      </c>
      <c r="G45" s="41">
        <f t="shared" si="1"/>
        <v>216043.29898229934</v>
      </c>
      <c r="H45" s="27"/>
      <c r="I45" s="28">
        <f>IF(B45&lt;&gt;"TOTAL",IF(B45="","",I44*(1+$D$11)),SUM($I$25:I44))</f>
        <v>67719.47809350822</v>
      </c>
      <c r="J45" s="28">
        <f t="shared" si="2"/>
        <v>5643.289841125686</v>
      </c>
      <c r="K45" s="28"/>
      <c r="L45" s="28">
        <f>IF(B45&lt;&gt;"TOTAL",IF(B45="","",C44-I44),SUM($L$25:L44))</f>
        <v>-29726.93545255847</v>
      </c>
      <c r="M45" s="28">
        <f>IF(B45&lt;&gt;"TOTAL",IF(B45="","",(N44+L45)*$D$19),SUM($M$25:M44))</f>
        <v>83651.12385951809</v>
      </c>
      <c r="N45" s="28">
        <f t="shared" si="3"/>
        <v>950150.4874010666</v>
      </c>
      <c r="O45" s="34"/>
    </row>
    <row r="46" spans="2:15" ht="18.75" customHeight="1">
      <c r="B46" s="7">
        <f t="shared" si="0"/>
        <v>22</v>
      </c>
      <c r="C46" s="28">
        <f>IF(B46&lt;&gt;"TOTAL",IF(B46="","",-$D$8*$I$5),SUM(C$25:C45))</f>
        <v>33562.29641053332</v>
      </c>
      <c r="D46" s="27">
        <f>IF(B46&lt;&gt;"TOTAL",IF(B46="","",C46-F46),SUM(D$25:D45))</f>
        <v>15897.049527149851</v>
      </c>
      <c r="F46" s="28">
        <f>IF(B46&lt;&gt;"TOTAL",IF(B46="","",-PPMT($D$4,B46,$D$5,$D$2-$D$3)),SUM(F$25:F45))</f>
        <v>17665.246883383472</v>
      </c>
      <c r="G46" s="41">
        <f t="shared" si="1"/>
        <v>198378.05209891585</v>
      </c>
      <c r="H46" s="27"/>
      <c r="I46" s="28">
        <f>IF(B46&lt;&gt;"TOTAL",IF(B46="","",I45*(1+$D$11)),SUM($I$25:I45))</f>
        <v>72459.8415600538</v>
      </c>
      <c r="J46" s="28">
        <f t="shared" si="2"/>
        <v>6038.320130004483</v>
      </c>
      <c r="K46" s="28"/>
      <c r="L46" s="28">
        <f>IF(B46&lt;&gt;"TOTAL",IF(B46="","",C45-I45),SUM($L$25:L45))</f>
        <v>-34157.1816829749</v>
      </c>
      <c r="M46" s="28">
        <f>IF(B46&lt;&gt;"TOTAL",IF(B46="","",(N45+L46)*$D$19),SUM($M$25:M45))</f>
        <v>88429.22764298072</v>
      </c>
      <c r="N46" s="28">
        <f t="shared" si="3"/>
        <v>1004422.5333610724</v>
      </c>
      <c r="O46" s="34"/>
    </row>
    <row r="47" spans="2:15" ht="18.75" customHeight="1">
      <c r="B47" s="7">
        <f t="shared" si="0"/>
        <v>23</v>
      </c>
      <c r="C47" s="28">
        <f>IF(B47&lt;&gt;"TOTAL",IF(B47="","",-$D$8*$I$5),SUM(C$25:C46))</f>
        <v>33562.29641053332</v>
      </c>
      <c r="D47" s="27">
        <f>IF(B47&lt;&gt;"TOTAL",IF(B47="","",C47-F47),SUM(D$25:D46))</f>
        <v>14572.156010896091</v>
      </c>
      <c r="F47" s="28">
        <f>IF(B47&lt;&gt;"TOTAL",IF(B47="","",-PPMT($D$4,B47,$D$5,$D$2-$D$3)),SUM(F$25:F46))</f>
        <v>18990.140399637232</v>
      </c>
      <c r="G47" s="41">
        <f t="shared" si="1"/>
        <v>179387.91169927863</v>
      </c>
      <c r="H47" s="27"/>
      <c r="I47" s="28">
        <f>IF(B47&lt;&gt;"TOTAL",IF(B47="","",I46*(1+$D$11)),SUM($I$25:I46))</f>
        <v>77532.03046925757</v>
      </c>
      <c r="J47" s="28">
        <f t="shared" si="2"/>
        <v>6461.0025391047975</v>
      </c>
      <c r="K47" s="28"/>
      <c r="L47" s="28">
        <f>IF(B47&lt;&gt;"TOTAL",IF(B47="","",C46-I46),SUM($L$25:L46))</f>
        <v>-38897.545149520476</v>
      </c>
      <c r="M47" s="28">
        <f>IF(B47&lt;&gt;"TOTAL",IF(B47="","",(N46+L47)*$D$19),SUM($M$25:M46))</f>
        <v>93210.97484507442</v>
      </c>
      <c r="N47" s="28">
        <f t="shared" si="3"/>
        <v>1058735.9630566263</v>
      </c>
      <c r="O47" s="34"/>
    </row>
    <row r="48" spans="2:15" ht="18.75" customHeight="1">
      <c r="B48" s="7">
        <f t="shared" si="0"/>
        <v>24</v>
      </c>
      <c r="C48" s="28">
        <f>IF(B48&lt;&gt;"TOTAL",IF(B48="","",-$D$8*$I$5),SUM(C$25:C47))</f>
        <v>33562.29641053332</v>
      </c>
      <c r="D48" s="27">
        <f>IF(B48&lt;&gt;"TOTAL",IF(B48="","",C48-F48),SUM(D$25:D47))</f>
        <v>13147.895480923322</v>
      </c>
      <c r="F48" s="28">
        <f>IF(B48&lt;&gt;"TOTAL",IF(B48="","",-PPMT($D$4,B48,$D$5,$D$2-$D$3)),SUM(F$25:F47))</f>
        <v>20414.40092961</v>
      </c>
      <c r="G48" s="41">
        <f t="shared" si="1"/>
        <v>158973.51076966862</v>
      </c>
      <c r="H48" s="27"/>
      <c r="I48" s="28">
        <f>IF(B48&lt;&gt;"TOTAL",IF(B48="","",I47*(1+$D$11)),SUM($I$25:I47))</f>
        <v>82959.27260210562</v>
      </c>
      <c r="J48" s="28">
        <f t="shared" si="2"/>
        <v>6913.272716842134</v>
      </c>
      <c r="K48" s="28"/>
      <c r="L48" s="28">
        <f>IF(B48&lt;&gt;"TOTAL",IF(B48="","",C47-I47),SUM($L$25:L47))</f>
        <v>-43969.73405872425</v>
      </c>
      <c r="M48" s="28">
        <f>IF(B48&lt;&gt;"TOTAL",IF(B48="","",(N47+L48)*$D$19),SUM($M$25:M47))</f>
        <v>97964.68304767464</v>
      </c>
      <c r="N48" s="28">
        <f t="shared" si="3"/>
        <v>1112730.9120455766</v>
      </c>
      <c r="O48" s="34"/>
    </row>
    <row r="49" spans="2:15" ht="18.75" customHeight="1">
      <c r="B49" s="7">
        <f t="shared" si="0"/>
        <v>25</v>
      </c>
      <c r="C49" s="28">
        <f>IF(B49&lt;&gt;"TOTAL",IF(B49="","",-$D$8*$I$5),SUM(C$25:C48))</f>
        <v>33562.29641053332</v>
      </c>
      <c r="D49" s="27">
        <f>IF(B49&lt;&gt;"TOTAL",IF(B49="","",C49-F49),SUM(D$25:D48))</f>
        <v>11616.815411202573</v>
      </c>
      <c r="F49" s="28">
        <f>IF(B49&lt;&gt;"TOTAL",IF(B49="","",-PPMT($D$4,B49,$D$5,$D$2-$D$3)),SUM(F$25:F48))</f>
        <v>21945.48099933075</v>
      </c>
      <c r="G49" s="41">
        <f t="shared" si="1"/>
        <v>137028.02977033786</v>
      </c>
      <c r="H49" s="27"/>
      <c r="I49" s="28">
        <f>IF(B49&lt;&gt;"TOTAL",IF(B49="","",I48*(1+$D$11)),SUM($I$25:I48))</f>
        <v>88766.42168425301</v>
      </c>
      <c r="J49" s="28">
        <f t="shared" si="2"/>
        <v>7397.201807021084</v>
      </c>
      <c r="K49" s="28"/>
      <c r="L49" s="28">
        <f>IF(B49&lt;&gt;"TOTAL",IF(B49="","",C48-I48),SUM($L$25:L48))</f>
        <v>-49396.97619157229</v>
      </c>
      <c r="M49" s="28">
        <f>IF(B49&lt;&gt;"TOTAL",IF(B49="","",(N48+L49)*$D$19),SUM($M$25:M48))</f>
        <v>102653.36884795886</v>
      </c>
      <c r="N49" s="28">
        <f t="shared" si="3"/>
        <v>1165987.304701963</v>
      </c>
      <c r="O49" s="34"/>
    </row>
    <row r="50" spans="2:14" ht="18.75" customHeight="1">
      <c r="B50" s="7">
        <f t="shared" si="0"/>
        <v>26</v>
      </c>
      <c r="C50" s="28">
        <f>IF(B50&lt;&gt;"TOTAL",IF(B50="","",-$D$8*$I$5),SUM(C$25:C49))</f>
        <v>33562.29641053332</v>
      </c>
      <c r="D50" s="27">
        <f>IF(B50&lt;&gt;"TOTAL",IF(B50="","",C50-F50),SUM(D$25:D49))</f>
        <v>9970.904336252745</v>
      </c>
      <c r="F50" s="28">
        <f>IF(B50&lt;&gt;"TOTAL",IF(B50="","",-PPMT($D$4,B50,$D$5,$D$2-$D$3)),SUM(F$25:F49))</f>
        <v>23591.39207428058</v>
      </c>
      <c r="G50" s="41">
        <f t="shared" si="1"/>
        <v>113436.63769605728</v>
      </c>
      <c r="H50" s="27"/>
      <c r="I50" s="28">
        <f>IF(B50&lt;&gt;"TOTAL",IF(B50="","",I49*(1+$D$11)),SUM($I$25:I49))</f>
        <v>94980.07120215074</v>
      </c>
      <c r="J50" s="28">
        <f t="shared" si="2"/>
        <v>7915.005933512562</v>
      </c>
      <c r="K50" s="28"/>
      <c r="L50" s="28">
        <f>IF(B50&lt;&gt;"TOTAL",IF(B50="","",C49-I49),SUM($L$25:L49))</f>
        <v>-55204.12527371969</v>
      </c>
      <c r="M50" s="28">
        <f>IF(B50&lt;&gt;"TOTAL",IF(B50="","",(N49+L50)*$D$19),SUM($M$25:M49))</f>
        <v>107234.07913843883</v>
      </c>
      <c r="N50" s="28">
        <f t="shared" si="3"/>
        <v>1218017.2585666822</v>
      </c>
    </row>
    <row r="51" spans="2:14" ht="18.75" customHeight="1">
      <c r="B51" s="7">
        <f t="shared" si="0"/>
        <v>27</v>
      </c>
      <c r="C51" s="28">
        <f>IF(B51&lt;&gt;"TOTAL",IF(B51="","",-$D$8*$I$5),SUM(C$25:C50))</f>
        <v>33562.29641053332</v>
      </c>
      <c r="D51" s="27">
        <f>IF(B51&lt;&gt;"TOTAL",IF(B51="","",C51-F51),SUM(D$25:D50))</f>
        <v>8201.549930681678</v>
      </c>
      <c r="F51" s="28">
        <f>IF(B51&lt;&gt;"TOTAL",IF(B51="","",-PPMT($D$4,B51,$D$5,$D$2-$D$3)),SUM(F$25:F50))</f>
        <v>25360.746479851645</v>
      </c>
      <c r="G51" s="41">
        <f t="shared" si="1"/>
        <v>88075.89121620564</v>
      </c>
      <c r="I51" s="28">
        <f>IF(B51&lt;&gt;"TOTAL",IF(B51="","",I50*(1+$D$11)),SUM($I$25:I50))</f>
        <v>101628.6761863013</v>
      </c>
      <c r="J51" s="28">
        <f t="shared" si="2"/>
        <v>8469.056348858441</v>
      </c>
      <c r="L51" s="28">
        <f>IF(B51&lt;&gt;"TOTAL",IF(B51="","",C50-I50),SUM($L$25:L50))</f>
        <v>-61417.77479161741</v>
      </c>
      <c r="M51" s="28">
        <f>IF(B51&lt;&gt;"TOTAL",IF(B51="","",(N50+L51)*$D$19),SUM($M$25:M50))</f>
        <v>111657.1468416127</v>
      </c>
      <c r="N51" s="28">
        <f t="shared" si="3"/>
        <v>1268256.6306166775</v>
      </c>
    </row>
    <row r="52" spans="2:14" ht="18.75" customHeight="1">
      <c r="B52" s="7">
        <f t="shared" si="0"/>
        <v>28</v>
      </c>
      <c r="C52" s="28">
        <f>IF(B52&lt;&gt;"TOTAL",IF(B52="","",-$D$8*$I$5),SUM(C$25:C51))</f>
        <v>33562.29641053332</v>
      </c>
      <c r="D52" s="27">
        <f>IF(B52&lt;&gt;"TOTAL",IF(B52="","",C52-F52),SUM(D$25:D51))</f>
        <v>6299.49394469284</v>
      </c>
      <c r="F52" s="28">
        <f>IF(B52&lt;&gt;"TOTAL",IF(B52="","",-PPMT($D$4,B52,$D$5,$D$2-$D$3)),SUM(F$25:F51))</f>
        <v>27262.802465840483</v>
      </c>
      <c r="G52" s="41">
        <f t="shared" si="1"/>
        <v>60813.088750365154</v>
      </c>
      <c r="I52" s="28">
        <f>IF(B52&lt;&gt;"TOTAL",IF(B52="","",I51*(1+$D$11)),SUM($I$25:I51))</f>
        <v>108742.68351934239</v>
      </c>
      <c r="J52" s="28">
        <f t="shared" si="2"/>
        <v>9061.890293278533</v>
      </c>
      <c r="L52" s="28">
        <f>IF(B52&lt;&gt;"TOTAL",IF(B52="","",C51-I51),SUM($L$25:L51))</f>
        <v>-68066.37977576797</v>
      </c>
      <c r="M52" s="28">
        <f>IF(B52&lt;&gt;"TOTAL",IF(B52="","",(N51+L52)*$D$19),SUM($M$25:M51))</f>
        <v>115865.3630370093</v>
      </c>
      <c r="N52" s="28">
        <f t="shared" si="3"/>
        <v>1316055.6138779188</v>
      </c>
    </row>
    <row r="53" spans="2:14" ht="18.75" customHeight="1">
      <c r="B53" s="7">
        <f t="shared" si="0"/>
        <v>29</v>
      </c>
      <c r="C53" s="28">
        <f>IF(B53&lt;&gt;"TOTAL",IF(B53="","",-$D$8*$I$5),SUM(C$25:C52))</f>
        <v>33562.29641053332</v>
      </c>
      <c r="D53" s="27">
        <f>IF(B53&lt;&gt;"TOTAL",IF(B53="","",C53-F53),SUM(D$25:D52))</f>
        <v>4254.783759754788</v>
      </c>
      <c r="F53" s="28">
        <f>IF(B53&lt;&gt;"TOTAL",IF(B53="","",-PPMT($D$4,B53,$D$5,$D$2-$D$3)),SUM(F$25:F52))</f>
        <v>29307.512650778535</v>
      </c>
      <c r="G53" s="41">
        <f t="shared" si="1"/>
        <v>31505.57609958662</v>
      </c>
      <c r="I53" s="28">
        <f>IF(B53&lt;&gt;"TOTAL",IF(B53="","",I52*(1+$D$11)),SUM($I$25:I52))</f>
        <v>116354.67136569637</v>
      </c>
      <c r="J53" s="28">
        <f t="shared" si="2"/>
        <v>9696.222613808031</v>
      </c>
      <c r="L53" s="28">
        <f>IF(B53&lt;&gt;"TOTAL",IF(B53="","",C52-I52),SUM($L$25:L52))</f>
        <v>-75180.38710880907</v>
      </c>
      <c r="M53" s="28">
        <f>IF(B53&lt;&gt;"TOTAL",IF(B53="","",(N52+L53)*$D$19),SUM($M$25:M52))</f>
        <v>119793.05658623623</v>
      </c>
      <c r="N53" s="28">
        <f t="shared" si="3"/>
        <v>1360668.283355346</v>
      </c>
    </row>
    <row r="54" spans="2:14" ht="18.75" customHeight="1">
      <c r="B54" s="7">
        <f t="shared" si="0"/>
        <v>30</v>
      </c>
      <c r="C54" s="28">
        <f>IF(B54&lt;&gt;"TOTAL",IF(B54="","",-$D$8*$I$5),SUM(C$25:C53))</f>
        <v>33562.29641053332</v>
      </c>
      <c r="D54" s="27">
        <f>IF(B54&lt;&gt;"TOTAL",IF(B54="","",C54-F54),SUM(D$25:D53))</f>
        <v>2056.720310946399</v>
      </c>
      <c r="F54" s="28">
        <f>IF(B54&lt;&gt;"TOTAL",IF(B54="","",-PPMT($D$4,B54,$D$5,$D$2-$D$3)),SUM(F$25:F53))</f>
        <v>31505.576099586924</v>
      </c>
      <c r="G54" s="41">
        <f t="shared" si="1"/>
        <v>-3.055902197957039E-10</v>
      </c>
      <c r="I54" s="28">
        <f>IF(B54&lt;&gt;"TOTAL",IF(B54="","",I53*(1+$D$11)),SUM($I$25:I53))</f>
        <v>124499.49836129512</v>
      </c>
      <c r="J54" s="28">
        <f t="shared" si="2"/>
        <v>10374.958196774593</v>
      </c>
      <c r="L54" s="28">
        <f>IF(B54&lt;&gt;"TOTAL",IF(B54="","",C53-I53),SUM($L$25:L53))</f>
        <v>-82792.37495516305</v>
      </c>
      <c r="M54" s="28">
        <f>IF(B54&lt;&gt;"TOTAL",IF(B54="","",(N53+L54)*$D$19),SUM($M$25:M53))</f>
        <v>123365.07144537823</v>
      </c>
      <c r="N54" s="28">
        <f t="shared" si="3"/>
        <v>1401240.979845561</v>
      </c>
    </row>
    <row r="55" spans="2:14" ht="18.75" customHeight="1">
      <c r="B55" s="7" t="str">
        <f t="shared" si="0"/>
        <v>TOTAL</v>
      </c>
      <c r="C55" s="28">
        <f>IF(B55&lt;&gt;"TOTAL",IF(B55="","",-$D$8*$I$5),SUM(C$25:C54))</f>
        <v>1006868.8923160002</v>
      </c>
      <c r="D55" s="27">
        <f>IF(B55&lt;&gt;"TOTAL",IF(B55="","",C55-F55),SUM(D$25:D54))</f>
        <v>606868.8923159995</v>
      </c>
      <c r="F55" s="28">
        <f>IF(B55&lt;&gt;"TOTAL",IF(B55="","",-PPMT($D$4,B55,$D$5,$D$2-$D$3)),SUM(F$25:F54))</f>
        <v>400000.0000000002</v>
      </c>
      <c r="G55" s="41">
        <f t="shared" si="1"/>
      </c>
      <c r="I55" s="28">
        <f>IF(B55&lt;&gt;"TOTAL",IF(B55="","",I54*(1+$D$11)),SUM($I$25:I54))</f>
        <v>1653063.7606655096</v>
      </c>
      <c r="J55" s="28">
        <f t="shared" si="2"/>
      </c>
      <c r="L55" s="28">
        <f>IF(B55&lt;&gt;"TOTAL",IF(B55="","",C54-I54),SUM($L$25:L54))</f>
        <v>-455257.666398748</v>
      </c>
      <c r="M55" s="28">
        <f>IF(B55&lt;&gt;"TOTAL",IF(B55="","",(N54+L55)*$D$19),SUM($M$25:M54))</f>
        <v>1856498.6462443094</v>
      </c>
      <c r="N55" s="28">
        <f t="shared" si="3"/>
        <v>1401240.979845561</v>
      </c>
    </row>
    <row r="56" spans="2:14" ht="18.75" customHeight="1">
      <c r="B56" s="7">
        <f t="shared" si="0"/>
      </c>
      <c r="C56" s="28">
        <f>IF(B56&lt;&gt;"TOTAL",IF(B56="","",-$D$8*$I$5),SUM(C$25:C55))</f>
      </c>
      <c r="D56" s="27">
        <f>IF(B56&lt;&gt;"TOTAL",IF(B56="","",C56-F56),SUM(D$25:D55))</f>
      </c>
      <c r="F56" s="28">
        <f>IF(B56&lt;&gt;"TOTAL",IF(B56="","",-PPMT($D$4,B56,$D$5,$D$2-$D$3)),SUM(F$25:F55))</f>
      </c>
      <c r="G56" s="41">
        <f t="shared" si="1"/>
      </c>
      <c r="I56" s="28">
        <f>IF(B56&lt;&gt;"TOTAL",IF(B56="","",I55*(1+$D$11)),SUM($I$25:I55))</f>
      </c>
      <c r="J56" s="28">
        <f t="shared" si="2"/>
      </c>
      <c r="L56" s="28">
        <f>IF(B56&lt;&gt;"TOTAL",IF(B56="","",C55-I55),SUM($L$25:L55))</f>
      </c>
      <c r="M56" s="28">
        <f>IF(B56&lt;&gt;"TOTAL",IF(B56="","",(N55+L56)*$D$19),SUM($M$25:M55))</f>
      </c>
      <c r="N56" s="28">
        <f t="shared" si="3"/>
      </c>
    </row>
    <row r="57" spans="2:14" ht="18.75" customHeight="1">
      <c r="B57" s="7">
        <f t="shared" si="0"/>
      </c>
      <c r="C57" s="28">
        <f>IF(B57&lt;&gt;"TOTAL",IF(B57="","",-$D$8*$I$5),SUM(C$25:C56))</f>
      </c>
      <c r="D57" s="27">
        <f>IF(B57&lt;&gt;"TOTAL",IF(B57="","",C57-F57),SUM(D$25:D56))</f>
      </c>
      <c r="F57" s="28">
        <f>IF(B57&lt;&gt;"TOTAL",IF(B57="","",-PPMT($D$4,B57,$D$5,$D$2-$D$3)),SUM(F$25:F56))</f>
      </c>
      <c r="G57" s="41">
        <f t="shared" si="1"/>
      </c>
      <c r="I57" s="28">
        <f>IF(B57&lt;&gt;"TOTAL",IF(B57="","",I56*(1+$D$11)),SUM($I$25:I56))</f>
      </c>
      <c r="J57" s="28">
        <f t="shared" si="2"/>
      </c>
      <c r="L57" s="28">
        <f>IF(B57&lt;&gt;"TOTAL",IF(B57="","",C56-I56),SUM($L$25:L56))</f>
      </c>
      <c r="M57" s="28">
        <f>IF(B57&lt;&gt;"TOTAL",IF(B57="","",(N56+L57)*$D$19),SUM($M$25:M56))</f>
      </c>
      <c r="N57" s="28">
        <f t="shared" si="3"/>
      </c>
    </row>
    <row r="58" spans="2:14" ht="18.75" customHeight="1">
      <c r="B58" s="7">
        <f t="shared" si="0"/>
      </c>
      <c r="C58" s="28">
        <f>IF(B58&lt;&gt;"TOTAL",IF(B58="","",-$D$8*$I$5),SUM(C$25:C57))</f>
      </c>
      <c r="D58" s="27">
        <f>IF(B58&lt;&gt;"TOTAL",IF(B58="","",C58-F58),SUM(D$25:D57))</f>
      </c>
      <c r="F58" s="28">
        <f>IF(B58&lt;&gt;"TOTAL",IF(B58="","",-PPMT($D$4,B58,$D$5,$D$2-$D$3)),SUM(F$25:F57))</f>
      </c>
      <c r="G58" s="41">
        <f t="shared" si="1"/>
      </c>
      <c r="I58" s="28">
        <f>IF(B58&lt;&gt;"TOTAL",IF(B58="","",I57*(1+$D$11)),SUM($I$25:I57))</f>
      </c>
      <c r="J58" s="28">
        <f t="shared" si="2"/>
      </c>
      <c r="L58" s="28">
        <f>IF(B58&lt;&gt;"TOTAL",IF(B58="","",C57-I57),SUM($L$25:L57))</f>
      </c>
      <c r="M58" s="28">
        <f>IF(B58&lt;&gt;"TOTAL",IF(B58="","",(N57+L58)*$D$19),SUM($M$25:M57))</f>
      </c>
      <c r="N58" s="28">
        <f t="shared" si="3"/>
      </c>
    </row>
    <row r="59" spans="2:14" ht="18.75" customHeight="1">
      <c r="B59" s="7">
        <f t="shared" si="0"/>
      </c>
      <c r="C59" s="28">
        <f>IF(B59&lt;&gt;"TOTAL",IF(B59="","",-$D$8*$I$5),SUM(C$25:C58))</f>
      </c>
      <c r="D59" s="27">
        <f>IF(B59&lt;&gt;"TOTAL",IF(B59="","",C59-F59),SUM(D$25:D58))</f>
      </c>
      <c r="F59" s="28">
        <f>IF(B59&lt;&gt;"TOTAL",IF(B59="","",-PPMT($D$4,B59,$D$5,$D$2-$D$3)),SUM(F$25:F58))</f>
      </c>
      <c r="G59" s="41">
        <f t="shared" si="1"/>
      </c>
      <c r="I59" s="28">
        <f>IF(B59&lt;&gt;"TOTAL",IF(B59="","",I58*(1+$D$11)),SUM($I$25:I58))</f>
      </c>
      <c r="J59" s="28">
        <f t="shared" si="2"/>
      </c>
      <c r="L59" s="28">
        <f>IF(B59&lt;&gt;"TOTAL",IF(B59="","",C58-I58),SUM($L$25:L58))</f>
      </c>
      <c r="M59" s="28">
        <f>IF(B59&lt;&gt;"TOTAL",IF(B59="","",(N58+L59)*$D$19),SUM($M$25:M58))</f>
      </c>
      <c r="N59" s="28">
        <f t="shared" si="3"/>
      </c>
    </row>
    <row r="60" spans="2:14" ht="18.75" customHeight="1">
      <c r="B60" s="7">
        <f t="shared" si="0"/>
      </c>
      <c r="C60" s="28">
        <f>IF(B60&lt;&gt;"TOTAL",IF(B60="","",-$D$8*$I$5),SUM(C$25:C59))</f>
      </c>
      <c r="D60" s="27">
        <f>IF(B60&lt;&gt;"TOTAL",IF(B60="","",C60-F60),SUM(D$25:D59))</f>
      </c>
      <c r="F60" s="28">
        <f>IF(B60&lt;&gt;"TOTAL",IF(B60="","",-PPMT($D$4,B60,$D$5,$D$2-$D$3)),SUM(F$25:F59))</f>
      </c>
      <c r="G60" s="41">
        <f t="shared" si="1"/>
      </c>
      <c r="I60" s="28">
        <f>IF(B60&lt;&gt;"TOTAL",IF(B60="","",I59*(1+$D$11)),SUM($I$25:I59))</f>
      </c>
      <c r="J60" s="28">
        <f t="shared" si="2"/>
      </c>
      <c r="L60" s="28">
        <f>IF(B60&lt;&gt;"TOTAL",IF(B60="","",C59-I59),SUM($L$25:L59))</f>
      </c>
      <c r="M60" s="28">
        <f>IF(B60&lt;&gt;"TOTAL",IF(B60="","",(N59+L60)*$D$19),SUM($M$25:M59))</f>
      </c>
      <c r="N60" s="28">
        <f t="shared" si="3"/>
      </c>
    </row>
    <row r="61" spans="2:14" ht="24.75" customHeight="1">
      <c r="B61" s="7">
        <f t="shared" si="0"/>
      </c>
      <c r="C61" s="28">
        <f>IF(B61&lt;&gt;"TOTAL",IF(B61="","",-$D$8*$I$5),SUM(C$25:C60))</f>
      </c>
      <c r="D61" s="27">
        <f>IF(B61&lt;&gt;"TOTAL",IF(B61="","",C61-F61),SUM(D$25:D60))</f>
      </c>
      <c r="F61" s="28">
        <f>IF(B61&lt;&gt;"TOTAL",IF(B61="","",-PPMT($D$4,B61,$D$5,$D$2-$D$3)),SUM(F$25:F60))</f>
      </c>
      <c r="G61" s="41">
        <f t="shared" si="1"/>
      </c>
      <c r="I61" s="28">
        <f>IF(B61&lt;&gt;"TOTAL",IF(B61="","",I60*(1+$D$11)),SUM($I$25:I60))</f>
      </c>
      <c r="J61" s="28">
        <f t="shared" si="2"/>
      </c>
      <c r="L61" s="28">
        <f>IF(B61&lt;&gt;"TOTAL",IF(B61="","",C60-I60),SUM($L$25:L60))</f>
      </c>
      <c r="M61" s="28">
        <f>IF(B61&lt;&gt;"TOTAL",IF(B61="","",(N60+L61)*$D$19),SUM($M$25:M60))</f>
      </c>
      <c r="N61" s="28">
        <f t="shared" si="3"/>
      </c>
    </row>
    <row r="62" spans="2:14" ht="24.75" customHeight="1">
      <c r="B62" s="7">
        <f t="shared" si="0"/>
      </c>
      <c r="C62" s="28">
        <f>IF(B62&lt;&gt;"TOTAL",IF(B62="","",-$D$8*$I$5),SUM(C$25:C61))</f>
      </c>
      <c r="D62" s="27">
        <f>IF(B62&lt;&gt;"TOTAL",IF(B62="","",C62-F62),SUM(D$25:D61))</f>
      </c>
      <c r="F62" s="28">
        <f>IF(B62&lt;&gt;"TOTAL",IF(B62="","",-PPMT($D$4,B62,$D$5,$D$2-$D$3)),SUM(F$25:F61))</f>
      </c>
      <c r="G62" s="41">
        <f t="shared" si="1"/>
      </c>
      <c r="I62" s="28">
        <f>IF(B62&lt;&gt;"TOTAL",IF(B62="","",I61*(1+$D$11)),SUM($I$25:I61))</f>
      </c>
      <c r="J62" s="28">
        <f t="shared" si="2"/>
      </c>
      <c r="L62" s="28">
        <f>IF(B62&lt;&gt;"TOTAL",IF(B62="","",C61-I61),SUM($L$25:L61))</f>
      </c>
      <c r="M62" s="28">
        <f>IF(B62&lt;&gt;"TOTAL",IF(B62="","",(N61+L62)*$D$19),SUM($M$25:M61))</f>
      </c>
      <c r="N62" s="28">
        <f t="shared" si="3"/>
      </c>
    </row>
    <row r="63" spans="2:14" ht="24.75" customHeight="1">
      <c r="B63" s="7">
        <f t="shared" si="0"/>
      </c>
      <c r="C63" s="28">
        <f>IF(B63&lt;&gt;"TOTAL",IF(B63="","",-$D$8*$I$5),SUM(C$25:C62))</f>
      </c>
      <c r="D63" s="27">
        <f>IF(B63&lt;&gt;"TOTAL",IF(B63="","",C63-F63),SUM(D$25:D62))</f>
      </c>
      <c r="F63" s="28">
        <f>IF(B63&lt;&gt;"TOTAL",IF(B63="","",-PPMT($D$4,B63,$D$5,$D$2-$D$3)),SUM(F$25:F62))</f>
      </c>
      <c r="G63" s="41">
        <f t="shared" si="1"/>
      </c>
      <c r="I63" s="28">
        <f>IF(B63&lt;&gt;"TOTAL",IF(B63="","",I62*(1+$D$11)),SUM($I$25:I62))</f>
      </c>
      <c r="J63" s="28">
        <f t="shared" si="2"/>
      </c>
      <c r="L63" s="28">
        <f>IF(B63&lt;&gt;"TOTAL",IF(B63="","",C62-I62),SUM($L$25:L62))</f>
      </c>
      <c r="M63" s="28">
        <f>IF(B63&lt;&gt;"TOTAL",IF(B63="","",(N62+L63)*$D$19),SUM($M$25:M62))</f>
      </c>
      <c r="N63" s="28">
        <f t="shared" si="3"/>
      </c>
    </row>
    <row r="64" spans="2:14" ht="24.75" customHeight="1">
      <c r="B64" s="7">
        <f t="shared" si="0"/>
      </c>
      <c r="C64" s="28">
        <f>IF(B64&lt;&gt;"TOTAL",IF(B64="","",-$D$8*$I$5),SUM(C$25:C63))</f>
      </c>
      <c r="D64" s="27">
        <f>IF(B64&lt;&gt;"TOTAL",IF(B64="","",C64-F64),SUM(D$25:D63))</f>
      </c>
      <c r="F64" s="28">
        <f>IF(B64&lt;&gt;"TOTAL",IF(B64="","",-PPMT($D$4,B64,$D$5,$D$2-$D$3)),SUM(F$25:F63))</f>
      </c>
      <c r="G64" s="41">
        <f t="shared" si="1"/>
      </c>
      <c r="I64" s="28">
        <f>IF(B64&lt;&gt;"TOTAL",IF(B64="","",I63*(1+$D$11)),SUM($I$25:I63))</f>
      </c>
      <c r="J64" s="28">
        <f t="shared" si="2"/>
      </c>
      <c r="L64" s="28">
        <f>IF(B64&lt;&gt;"TOTAL",IF(B64="","",C63-I63),SUM($L$25:L63))</f>
      </c>
      <c r="M64" s="28">
        <f>IF(B64&lt;&gt;"TOTAL",IF(B64="","",(N63+L64)*$D$19),SUM($M$25:M63))</f>
      </c>
      <c r="N64" s="28">
        <f t="shared" si="3"/>
      </c>
    </row>
    <row r="65" spans="2:14" ht="24.75" customHeight="1">
      <c r="B65" s="7">
        <f t="shared" si="0"/>
      </c>
      <c r="C65" s="28">
        <f>IF(B65&lt;&gt;"TOTAL",IF(B65="","",-$D$8*$I$5),SUM(C$25:C64))</f>
      </c>
      <c r="D65" s="27">
        <f>IF(B65&lt;&gt;"TOTAL",IF(B65="","",C65-F65),SUM(D$25:D64))</f>
      </c>
      <c r="F65" s="28">
        <f>IF(B65&lt;&gt;"TOTAL",IF(B65="","",-PPMT($D$4,B65,$D$5,$D$2-$D$3)),SUM(F$25:F64))</f>
      </c>
      <c r="G65" s="41">
        <f t="shared" si="1"/>
      </c>
      <c r="I65" s="28">
        <f>IF(B65&lt;&gt;"TOTAL",IF(B65="","",I64*(1+$D$11)),SUM($I$25:I64))</f>
      </c>
      <c r="J65" s="28">
        <f t="shared" si="2"/>
      </c>
      <c r="L65" s="28">
        <f>IF(B65&lt;&gt;"TOTAL",IF(B65="","",C64-I64),SUM($L$25:L64))</f>
      </c>
      <c r="M65" s="28">
        <f>IF(B65&lt;&gt;"TOTAL",IF(B65="","",(N64+L65)*$D$19),SUM($M$25:M64))</f>
      </c>
      <c r="N65" s="28">
        <f t="shared" si="3"/>
      </c>
    </row>
    <row r="66" spans="2:14" ht="24.75" customHeight="1">
      <c r="B66" s="7">
        <f t="shared" si="0"/>
      </c>
      <c r="C66" s="28">
        <f>IF(B66&lt;&gt;"TOTAL",IF(B66="","",-$D$8*$I$5),SUM(C$25:C65))</f>
      </c>
      <c r="D66" s="27">
        <f>IF(B66&lt;&gt;"TOTAL",IF(B66="","",C66-F66),SUM(D$25:D65))</f>
      </c>
      <c r="F66" s="28">
        <f>IF(B66&lt;&gt;"TOTAL",IF(B66="","",-PPMT($D$4,B66,$D$5,$D$2-$D$3)),SUM(F$25:F65))</f>
      </c>
      <c r="G66" s="41">
        <f t="shared" si="1"/>
      </c>
      <c r="I66" s="28">
        <f>IF(B66&lt;&gt;"TOTAL",IF(B66="","",I65*(1+$D$11)),SUM($I$25:I65))</f>
      </c>
      <c r="J66" s="28">
        <f t="shared" si="2"/>
      </c>
      <c r="L66" s="28">
        <f>IF(B66&lt;&gt;"TOTAL",IF(B66="","",C65-I65),SUM($L$25:L65))</f>
      </c>
      <c r="M66" s="28">
        <f>IF(B66&lt;&gt;"TOTAL",IF(B66="","",(N65+L66)*$D$19),SUM($M$25:M65))</f>
      </c>
      <c r="N66" s="28">
        <f t="shared" si="3"/>
      </c>
    </row>
    <row r="67" spans="2:14" ht="24.75" customHeight="1">
      <c r="B67" s="7">
        <f t="shared" si="0"/>
      </c>
      <c r="C67" s="28">
        <f>IF(B67&lt;&gt;"TOTAL",IF(B67="","",-$D$8*$I$5),SUM(C$25:C66))</f>
      </c>
      <c r="D67" s="27">
        <f>IF(B67&lt;&gt;"TOTAL",IF(B67="","",C67-F67),SUM(D$25:D66))</f>
      </c>
      <c r="F67" s="28">
        <f>IF(B67&lt;&gt;"TOTAL",IF(B67="","",-PPMT($D$4,B67,$D$5,$D$2-$D$3)),SUM(F$25:F66))</f>
      </c>
      <c r="G67" s="41">
        <f t="shared" si="1"/>
      </c>
      <c r="I67" s="28">
        <f>IF(B67&lt;&gt;"TOTAL",IF(B67="","",I66*(1+$D$11)),SUM($I$25:I66))</f>
      </c>
      <c r="J67" s="28">
        <f t="shared" si="2"/>
      </c>
      <c r="L67" s="28">
        <f>IF(B67&lt;&gt;"TOTAL",IF(B67="","",C66-I66),SUM($L$25:L66))</f>
      </c>
      <c r="M67" s="28">
        <f>IF(B67&lt;&gt;"TOTAL",IF(B67="","",(N66+L67)*$D$19),SUM($M$25:M66))</f>
      </c>
      <c r="N67" s="28">
        <f t="shared" si="3"/>
      </c>
    </row>
    <row r="68" spans="2:14" ht="24.75" customHeight="1">
      <c r="B68" s="7">
        <f t="shared" si="0"/>
      </c>
      <c r="C68" s="28">
        <f>IF(B68&lt;&gt;"TOTAL",IF(B68="","",-$D$8*$I$5),SUM(C$25:C67))</f>
      </c>
      <c r="D68" s="27">
        <f>IF(B68&lt;&gt;"TOTAL",IF(B68="","",C68-F68),SUM(D$25:D67))</f>
      </c>
      <c r="F68" s="28">
        <f>IF(B68&lt;&gt;"TOTAL",IF(B68="","",-PPMT($D$4,B68,$D$5,$D$2-$D$3)),SUM(F$25:F67))</f>
      </c>
      <c r="G68" s="41">
        <f t="shared" si="1"/>
      </c>
      <c r="I68" s="28">
        <f>IF(B68&lt;&gt;"TOTAL",IF(B68="","",I67*(1+$D$11)),SUM($I$25:I67))</f>
      </c>
      <c r="J68" s="28">
        <f t="shared" si="2"/>
      </c>
      <c r="L68" s="28">
        <f>IF(B68&lt;&gt;"TOTAL",IF(B68="","",C67-I67),SUM($L$25:L67))</f>
      </c>
      <c r="M68" s="28">
        <f>IF(B68&lt;&gt;"TOTAL",IF(B68="","",(N67+L68)*$D$19),SUM($M$25:M67))</f>
      </c>
      <c r="N68" s="28">
        <f t="shared" si="3"/>
      </c>
    </row>
    <row r="69" spans="2:14" ht="24.75" customHeight="1">
      <c r="B69" s="7">
        <f t="shared" si="0"/>
      </c>
      <c r="C69" s="28">
        <f>IF(B69&lt;&gt;"TOTAL",IF(B69="","",-$D$8*$I$5),SUM(C$25:C68))</f>
      </c>
      <c r="D69" s="27">
        <f>IF(B69&lt;&gt;"TOTAL",IF(B69="","",C69-F69),SUM(D$25:D68))</f>
      </c>
      <c r="F69" s="28">
        <f>IF(B69&lt;&gt;"TOTAL",IF(B69="","",-PPMT($D$4,B69,$D$5,$D$2-$D$3)),SUM(F$25:F68))</f>
      </c>
      <c r="G69" s="41">
        <f t="shared" si="1"/>
      </c>
      <c r="I69" s="28">
        <f>IF(B69&lt;&gt;"TOTAL",IF(B69="","",I68*(1+$D$11)),SUM($I$25:I68))</f>
      </c>
      <c r="J69" s="28">
        <f t="shared" si="2"/>
      </c>
      <c r="L69" s="28">
        <f>IF(B69&lt;&gt;"TOTAL",IF(B69="","",C68-I68),SUM($L$25:L68))</f>
      </c>
      <c r="M69" s="28">
        <f>IF(B69&lt;&gt;"TOTAL",IF(B69="","",(N68+L69)*$D$19),SUM($M$25:M68))</f>
      </c>
      <c r="N69" s="28">
        <f t="shared" si="3"/>
      </c>
    </row>
    <row r="70" spans="2:14" ht="24.75" customHeight="1">
      <c r="B70" s="7">
        <f t="shared" si="0"/>
      </c>
      <c r="C70" s="28">
        <f>IF(B70&lt;&gt;"TOTAL",IF(B70="","",-$D$8*$I$5),SUM(C$25:C69))</f>
      </c>
      <c r="D70" s="27">
        <f>IF(B70&lt;&gt;"TOTAL",IF(B70="","",C70-F70),SUM(D$25:D69))</f>
      </c>
      <c r="F70" s="28">
        <f>IF(B70&lt;&gt;"TOTAL",IF(B70="","",-PPMT($D$4,B70,$D$5,$D$2-$D$3)),SUM(F$25:F69))</f>
      </c>
      <c r="G70" s="41">
        <f t="shared" si="1"/>
      </c>
      <c r="I70" s="28">
        <f>IF(B70&lt;&gt;"TOTAL",IF(B70="","",I69*(1+$D$11)),SUM($I$25:I69))</f>
      </c>
      <c r="J70" s="28">
        <f t="shared" si="2"/>
      </c>
      <c r="L70" s="28">
        <f>IF(B70&lt;&gt;"TOTAL",IF(B70="","",C69-I69),SUM($L$25:L69))</f>
      </c>
      <c r="M70" s="28">
        <f>IF(B70&lt;&gt;"TOTAL",IF(B70="","",(N69+L70)*$D$19),SUM($M$25:M69))</f>
      </c>
      <c r="N70" s="28">
        <f t="shared" si="3"/>
      </c>
    </row>
    <row r="71" ht="24.75" customHeight="1">
      <c r="B71" s="7">
        <f>IF(B70=($D$5-1),B70+1,IF(B70="TOTAL","",IF(B70="","","TOTAL")))</f>
      </c>
    </row>
  </sheetData>
  <printOptions/>
  <pageMargins left="0.75" right="0.75" top="1" bottom="1" header="0.5" footer="0.5"/>
  <pageSetup horizontalDpi="300" verticalDpi="300" orientation="portrait"/>
  <ignoredErrors>
    <ignoredError sqref="D51 D52:D7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cyrille de brebisson</dc:creator>
  <cp:keywords/>
  <dc:description/>
  <cp:lastModifiedBy>Jean-Yves Avenard</cp:lastModifiedBy>
  <dcterms:created xsi:type="dcterms:W3CDTF">2007-06-13T14:18:27Z</dcterms:created>
  <dcterms:modified xsi:type="dcterms:W3CDTF">2007-06-13T15:08:55Z</dcterms:modified>
  <cp:category/>
  <cp:version/>
  <cp:contentType/>
  <cp:contentStatus/>
</cp:coreProperties>
</file>